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showInkAnnotation="0"/>
  <mc:AlternateContent xmlns:mc="http://schemas.openxmlformats.org/markup-compatibility/2006">
    <mc:Choice Requires="x15">
      <x15ac:absPath xmlns:x15ac="http://schemas.microsoft.com/office/spreadsheetml/2010/11/ac" url="P:\Budgets\2021-23 Budgets\Budget Comparisons\"/>
    </mc:Choice>
  </mc:AlternateContent>
  <xr:revisionPtr revIDLastSave="0" documentId="13_ncr:1_{D7B92C76-92CA-447E-AC80-0B3062F06F83}" xr6:coauthVersionLast="36" xr6:coauthVersionMax="36" xr10:uidLastSave="{00000000-0000-0000-0000-000000000000}"/>
  <bookViews>
    <workbookView xWindow="0" yWindow="0" windowWidth="24000" windowHeight="10890" xr2:uid="{00000000-000D-0000-FFFF-FFFF00000000}"/>
  </bookViews>
  <sheets>
    <sheet name="SBCTC to Gov-Senate-House" sheetId="1" r:id="rId1"/>
    <sheet name="Senate Chair" sheetId="3" r:id="rId2"/>
    <sheet name="House" sheetId="4" r:id="rId3"/>
  </sheets>
  <definedNames>
    <definedName name="_xlnm.Print_Area" localSheetId="0">'SBCTC to Gov-Senate-House'!$A$1:$Y$67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3" i="1" l="1"/>
  <c r="AH44" i="1"/>
  <c r="AD28" i="1"/>
  <c r="AE43" i="1"/>
  <c r="AE44" i="1"/>
  <c r="AG8" i="1"/>
  <c r="AG9" i="1"/>
  <c r="AG16" i="1"/>
  <c r="AG24" i="1"/>
  <c r="AG26" i="1"/>
  <c r="AG27" i="1"/>
  <c r="AG28" i="1"/>
  <c r="AG29" i="1"/>
  <c r="AG30" i="1"/>
  <c r="AG31" i="1"/>
  <c r="AG32" i="1"/>
  <c r="AG33" i="1"/>
  <c r="AG34" i="1"/>
  <c r="AG35" i="1"/>
  <c r="AG36" i="1"/>
  <c r="AG37" i="1"/>
  <c r="AG38" i="1"/>
  <c r="AG39" i="1"/>
  <c r="AG40" i="1"/>
  <c r="AG41" i="1"/>
  <c r="AG42" i="1"/>
  <c r="AG7" i="1"/>
  <c r="AD8" i="1"/>
  <c r="AD9" i="1"/>
  <c r="AD16" i="1"/>
  <c r="AD24" i="1"/>
  <c r="AD26" i="1"/>
  <c r="AD27" i="1"/>
  <c r="AD29" i="1"/>
  <c r="AD30" i="1"/>
  <c r="AD31" i="1"/>
  <c r="AD32" i="1"/>
  <c r="AD33" i="1"/>
  <c r="AD34" i="1"/>
  <c r="AD35" i="1"/>
  <c r="AD36" i="1"/>
  <c r="AD37" i="1"/>
  <c r="AD38" i="1"/>
  <c r="AD39" i="1"/>
  <c r="AD40" i="1"/>
  <c r="AD41" i="1"/>
  <c r="AD42" i="1"/>
  <c r="AD7" i="1"/>
  <c r="AC24" i="1"/>
  <c r="AB25" i="1"/>
  <c r="AB43" i="1" s="1"/>
  <c r="AA25" i="1"/>
  <c r="AA43" i="1" s="1"/>
  <c r="AA22" i="1"/>
  <c r="AB14" i="1"/>
  <c r="AB15" i="1" s="1"/>
  <c r="AA14" i="1"/>
  <c r="AA15" i="1" s="1"/>
  <c r="AB22" i="1"/>
  <c r="AC42" i="1"/>
  <c r="AC41" i="1"/>
  <c r="AC40" i="1"/>
  <c r="AC39" i="1"/>
  <c r="AC38" i="1"/>
  <c r="AC37" i="1"/>
  <c r="AC36" i="1"/>
  <c r="AC35" i="1"/>
  <c r="AC34" i="1"/>
  <c r="AC33" i="1"/>
  <c r="AC32" i="1"/>
  <c r="AC31" i="1"/>
  <c r="AC30" i="1"/>
  <c r="AC29" i="1"/>
  <c r="AC28" i="1"/>
  <c r="AC23" i="1"/>
  <c r="AC21" i="1"/>
  <c r="AC20" i="1"/>
  <c r="AC19" i="1"/>
  <c r="AC18" i="1"/>
  <c r="AC17" i="1"/>
  <c r="AC13" i="1"/>
  <c r="AC12" i="1"/>
  <c r="AC11" i="1"/>
  <c r="AC10" i="1"/>
  <c r="AC9" i="1"/>
  <c r="AC8" i="1"/>
  <c r="AA44" i="1" l="1"/>
  <c r="AA45" i="1" s="1"/>
  <c r="AC14" i="1"/>
  <c r="AC22" i="1"/>
  <c r="AB44" i="1"/>
  <c r="AB45" i="1" s="1"/>
  <c r="AC43" i="1" l="1"/>
  <c r="AC44" i="1"/>
  <c r="AC25" i="1"/>
  <c r="AC15" i="1"/>
  <c r="AC45" i="1" l="1"/>
  <c r="E25" i="1" l="1"/>
  <c r="Y38" i="1" l="1"/>
  <c r="Y7" i="1"/>
  <c r="X7" i="1"/>
  <c r="V43" i="1"/>
  <c r="U43" i="1"/>
  <c r="N43" i="1"/>
  <c r="W38" i="1"/>
  <c r="X38" i="1" s="1"/>
  <c r="W39" i="1"/>
  <c r="Y39" i="1" s="1"/>
  <c r="W40" i="1"/>
  <c r="Y40" i="1" s="1"/>
  <c r="W41" i="1"/>
  <c r="Y41" i="1" s="1"/>
  <c r="W42" i="1"/>
  <c r="Y42" i="1" s="1"/>
  <c r="W29" i="1"/>
  <c r="W30" i="1"/>
  <c r="W31" i="1"/>
  <c r="W32" i="1"/>
  <c r="W33" i="1"/>
  <c r="W34" i="1"/>
  <c r="W35" i="1"/>
  <c r="W36" i="1"/>
  <c r="W37" i="1"/>
  <c r="W28" i="1"/>
  <c r="W18" i="1"/>
  <c r="W19" i="1"/>
  <c r="W20" i="1"/>
  <c r="W21" i="1"/>
  <c r="W22" i="1"/>
  <c r="W23" i="1"/>
  <c r="W17" i="1"/>
  <c r="W9" i="1"/>
  <c r="W10" i="1"/>
  <c r="W11" i="1"/>
  <c r="W12" i="1"/>
  <c r="W13" i="1"/>
  <c r="W8" i="1"/>
  <c r="V14" i="1"/>
  <c r="U14" i="1"/>
  <c r="U15" i="1" s="1"/>
  <c r="N14" i="1"/>
  <c r="AG20" i="1" l="1"/>
  <c r="AG18" i="1"/>
  <c r="AG23" i="1"/>
  <c r="AG19" i="1"/>
  <c r="AG22" i="1"/>
  <c r="AG17" i="1"/>
  <c r="AG21" i="1"/>
  <c r="AG11" i="1"/>
  <c r="AG10" i="1"/>
  <c r="AG12" i="1"/>
  <c r="AG13" i="1"/>
  <c r="V15" i="1"/>
  <c r="V44" i="1" s="1"/>
  <c r="X41" i="1"/>
  <c r="X42" i="1"/>
  <c r="X40" i="1"/>
  <c r="X39" i="1"/>
  <c r="W25" i="1"/>
  <c r="W14" i="1"/>
  <c r="U44" i="1"/>
  <c r="U45" i="1" s="1"/>
  <c r="W43" i="1"/>
  <c r="AG25" i="1" l="1"/>
  <c r="AG43" i="1"/>
  <c r="AG14" i="1"/>
  <c r="W15" i="1"/>
  <c r="W44" i="1"/>
  <c r="V45" i="1"/>
  <c r="AG15" i="1" l="1"/>
  <c r="AG44" i="1"/>
  <c r="W45" i="1"/>
  <c r="O43" i="1" l="1"/>
  <c r="P43" i="1" s="1"/>
  <c r="N15" i="1"/>
  <c r="O14" i="1"/>
  <c r="P14" i="1" s="1"/>
  <c r="G14" i="1"/>
  <c r="P34" i="1"/>
  <c r="P35" i="1"/>
  <c r="P36" i="1"/>
  <c r="P9" i="1"/>
  <c r="P10" i="1"/>
  <c r="P11" i="1"/>
  <c r="P12" i="1"/>
  <c r="P13" i="1"/>
  <c r="P16" i="1"/>
  <c r="P17" i="1"/>
  <c r="P18" i="1"/>
  <c r="P19" i="1"/>
  <c r="P20" i="1"/>
  <c r="P21" i="1"/>
  <c r="P22" i="1"/>
  <c r="P23" i="1"/>
  <c r="P28" i="1"/>
  <c r="P29" i="1"/>
  <c r="P30" i="1"/>
  <c r="P31" i="1"/>
  <c r="P32" i="1"/>
  <c r="P33" i="1"/>
  <c r="P37" i="1"/>
  <c r="R42" i="1"/>
  <c r="P8" i="1"/>
  <c r="I33" i="1"/>
  <c r="J33" i="1" s="1"/>
  <c r="AD20" i="1" l="1"/>
  <c r="AD43" i="1"/>
  <c r="AD19" i="1"/>
  <c r="AD18" i="1"/>
  <c r="AD23" i="1"/>
  <c r="AD21" i="1"/>
  <c r="AD17" i="1"/>
  <c r="AD22" i="1"/>
  <c r="AD12" i="1"/>
  <c r="AD11" i="1"/>
  <c r="X13" i="1"/>
  <c r="AD13" i="1"/>
  <c r="X14" i="1"/>
  <c r="AD14" i="1"/>
  <c r="AD10" i="1"/>
  <c r="X29" i="1"/>
  <c r="Y29" i="1"/>
  <c r="X21" i="1"/>
  <c r="Y21" i="1"/>
  <c r="R16" i="1"/>
  <c r="X16" i="1"/>
  <c r="Y16" i="1"/>
  <c r="Q37" i="1"/>
  <c r="Y37" i="1"/>
  <c r="X37" i="1"/>
  <c r="R35" i="1"/>
  <c r="Y35" i="1"/>
  <c r="X35" i="1"/>
  <c r="X28" i="1"/>
  <c r="Y28" i="1"/>
  <c r="X23" i="1"/>
  <c r="Y23" i="1"/>
  <c r="X22" i="1"/>
  <c r="Y22" i="1"/>
  <c r="R33" i="1"/>
  <c r="Y33" i="1"/>
  <c r="X33" i="1"/>
  <c r="Y32" i="1"/>
  <c r="X32" i="1"/>
  <c r="X20" i="1"/>
  <c r="Y20" i="1"/>
  <c r="X31" i="1"/>
  <c r="Y31" i="1"/>
  <c r="X19" i="1"/>
  <c r="Y19" i="1"/>
  <c r="X17" i="1"/>
  <c r="Y17" i="1"/>
  <c r="Y30" i="1"/>
  <c r="X30" i="1"/>
  <c r="Y18" i="1"/>
  <c r="X18" i="1"/>
  <c r="R36" i="1"/>
  <c r="X36" i="1"/>
  <c r="Y36" i="1"/>
  <c r="R34" i="1"/>
  <c r="X34" i="1"/>
  <c r="Y34" i="1"/>
  <c r="N44" i="1"/>
  <c r="N45" i="1" s="1"/>
  <c r="Y43" i="1"/>
  <c r="X43" i="1"/>
  <c r="R20" i="1"/>
  <c r="R22" i="1"/>
  <c r="Q18" i="1"/>
  <c r="Q19" i="1"/>
  <c r="R17" i="1"/>
  <c r="P25" i="1"/>
  <c r="R23" i="1"/>
  <c r="R21" i="1"/>
  <c r="R18" i="1"/>
  <c r="O15" i="1"/>
  <c r="O44" i="1" s="1"/>
  <c r="O45" i="1" s="1"/>
  <c r="X8" i="1"/>
  <c r="Y8" i="1"/>
  <c r="Y14" i="1"/>
  <c r="X10" i="1"/>
  <c r="Y10" i="1"/>
  <c r="Y9" i="1"/>
  <c r="X9" i="1"/>
  <c r="R13" i="1"/>
  <c r="Y13" i="1"/>
  <c r="R12" i="1"/>
  <c r="X12" i="1"/>
  <c r="Y12" i="1"/>
  <c r="R11" i="1"/>
  <c r="X11" i="1"/>
  <c r="Y11" i="1"/>
  <c r="Q36" i="1"/>
  <c r="Q34" i="1"/>
  <c r="Q16" i="1"/>
  <c r="Q35" i="1"/>
  <c r="Q17" i="1"/>
  <c r="R37" i="1"/>
  <c r="R19" i="1"/>
  <c r="Q33" i="1"/>
  <c r="Q23" i="1"/>
  <c r="Q13" i="1"/>
  <c r="Q22" i="1"/>
  <c r="Q12" i="1"/>
  <c r="Q21" i="1"/>
  <c r="Q11" i="1"/>
  <c r="Q42" i="1"/>
  <c r="Q20" i="1"/>
  <c r="AD25" i="1" l="1"/>
  <c r="Y25" i="1"/>
  <c r="X25" i="1"/>
  <c r="P15" i="1"/>
  <c r="P44" i="1"/>
  <c r="P45" i="1" l="1"/>
  <c r="AD44" i="1"/>
  <c r="X15" i="1"/>
  <c r="AD15" i="1"/>
  <c r="X44" i="1"/>
  <c r="Y44" i="1"/>
  <c r="Y15" i="1"/>
  <c r="E33" i="4"/>
  <c r="E34" i="4"/>
  <c r="E35" i="4"/>
  <c r="E13" i="4"/>
  <c r="C11" i="4"/>
  <c r="C12" i="4"/>
  <c r="E32" i="4" l="1"/>
  <c r="E31" i="4"/>
  <c r="E30" i="4"/>
  <c r="E29" i="4"/>
  <c r="E28" i="4"/>
  <c r="E27" i="4"/>
  <c r="E26" i="4"/>
  <c r="E25" i="4"/>
  <c r="E24" i="4"/>
  <c r="E20" i="4"/>
  <c r="E19" i="4"/>
  <c r="E18" i="4"/>
  <c r="D17" i="4"/>
  <c r="D36" i="4" s="1"/>
  <c r="C17" i="4"/>
  <c r="C36" i="4" s="1"/>
  <c r="D12" i="4"/>
  <c r="E12" i="4" s="1"/>
  <c r="D11" i="4"/>
  <c r="E10" i="4"/>
  <c r="E9" i="4"/>
  <c r="D8" i="4"/>
  <c r="C8" i="4"/>
  <c r="C14" i="4" s="1"/>
  <c r="D14" i="4" l="1"/>
  <c r="D15" i="4" s="1"/>
  <c r="D37" i="4" s="1"/>
  <c r="D38" i="4" s="1"/>
  <c r="C15" i="4"/>
  <c r="E36" i="4"/>
  <c r="E21" i="4"/>
  <c r="E11" i="4"/>
  <c r="E8" i="4"/>
  <c r="E17" i="4"/>
  <c r="C33" i="3"/>
  <c r="C34" i="3" s="1"/>
  <c r="D20" i="3"/>
  <c r="D33" i="3" s="1"/>
  <c r="C20" i="3"/>
  <c r="E20" i="3" s="1"/>
  <c r="E19" i="3"/>
  <c r="E17" i="3"/>
  <c r="E18" i="3"/>
  <c r="E16" i="3"/>
  <c r="E24" i="3"/>
  <c r="E25" i="3"/>
  <c r="E26" i="3"/>
  <c r="E27" i="3"/>
  <c r="E28" i="3"/>
  <c r="E29" i="3"/>
  <c r="E30" i="3"/>
  <c r="E31" i="3"/>
  <c r="E23" i="3"/>
  <c r="D14" i="3"/>
  <c r="C14" i="3"/>
  <c r="E14" i="3" s="1"/>
  <c r="E9" i="3"/>
  <c r="E10" i="3"/>
  <c r="E11" i="3"/>
  <c r="E12" i="3"/>
  <c r="D13" i="3"/>
  <c r="C13" i="3"/>
  <c r="E13" i="3" s="1"/>
  <c r="D18" i="3"/>
  <c r="C18" i="3"/>
  <c r="D17" i="3"/>
  <c r="C17" i="3"/>
  <c r="D16" i="3"/>
  <c r="C16" i="3"/>
  <c r="D12" i="3"/>
  <c r="C12" i="3"/>
  <c r="D11" i="3"/>
  <c r="C11" i="3"/>
  <c r="D8" i="3"/>
  <c r="C8" i="3"/>
  <c r="E8" i="3" s="1"/>
  <c r="E14" i="4" l="1"/>
  <c r="C37" i="4"/>
  <c r="E15" i="4"/>
  <c r="D34" i="3"/>
  <c r="D35" i="3" s="1"/>
  <c r="C35" i="3"/>
  <c r="E33" i="3"/>
  <c r="E37" i="4" l="1"/>
  <c r="E38" i="4" s="1"/>
  <c r="C38" i="4"/>
  <c r="E34" i="3"/>
  <c r="E35" i="3" s="1"/>
  <c r="H22" i="1"/>
  <c r="G22" i="1"/>
  <c r="G43" i="1" s="1"/>
  <c r="H43" i="1" l="1"/>
  <c r="I29" i="1"/>
  <c r="D14" i="1"/>
  <c r="C14" i="1"/>
  <c r="H14" i="1"/>
  <c r="I9" i="1"/>
  <c r="I8" i="1"/>
  <c r="I28" i="1"/>
  <c r="I20" i="1"/>
  <c r="J20" i="1" s="1"/>
  <c r="I22" i="1"/>
  <c r="J22" i="1" s="1"/>
  <c r="I18" i="1"/>
  <c r="J18" i="1" s="1"/>
  <c r="I19" i="1"/>
  <c r="J19" i="1" s="1"/>
  <c r="I17" i="1"/>
  <c r="I25" i="1" l="1"/>
  <c r="J17" i="1"/>
  <c r="C15" i="1"/>
  <c r="E14" i="1"/>
  <c r="I14" i="1"/>
  <c r="I43" i="1"/>
  <c r="I32" i="1"/>
  <c r="I31" i="1"/>
  <c r="I30" i="1"/>
  <c r="E29" i="1"/>
  <c r="E30" i="1"/>
  <c r="E31" i="1"/>
  <c r="E32" i="1"/>
  <c r="E28" i="1"/>
  <c r="Q28" i="1" l="1"/>
  <c r="R28" i="1"/>
  <c r="Q30" i="1"/>
  <c r="R30" i="1"/>
  <c r="Q29" i="1"/>
  <c r="R29" i="1"/>
  <c r="J31" i="1"/>
  <c r="J28" i="1"/>
  <c r="Q32" i="1"/>
  <c r="R32" i="1"/>
  <c r="Q31" i="1"/>
  <c r="R31" i="1"/>
  <c r="J30" i="1"/>
  <c r="J32" i="1"/>
  <c r="J29" i="1"/>
  <c r="J14" i="1"/>
  <c r="Q14" i="1"/>
  <c r="R14" i="1"/>
  <c r="H5" i="1"/>
  <c r="G5" i="1"/>
  <c r="H7" i="1"/>
  <c r="H15" i="1" s="1"/>
  <c r="H44" i="1" s="1"/>
  <c r="G7" i="1"/>
  <c r="G15" i="1" l="1"/>
  <c r="G44" i="1" s="1"/>
  <c r="G45" i="1" s="1"/>
  <c r="I7" i="1"/>
  <c r="E8" i="1"/>
  <c r="I15" i="1" l="1"/>
  <c r="I44" i="1" s="1"/>
  <c r="R8" i="1"/>
  <c r="Q8" i="1"/>
  <c r="J8" i="1"/>
  <c r="E9" i="1"/>
  <c r="E10" i="1"/>
  <c r="R9" i="1" l="1"/>
  <c r="Q9" i="1"/>
  <c r="J9" i="1"/>
  <c r="R10" i="1"/>
  <c r="J10" i="1"/>
  <c r="Q10" i="1"/>
  <c r="K9" i="1"/>
  <c r="K10" i="1"/>
  <c r="E7" i="1" l="1"/>
  <c r="R7" i="1" l="1"/>
  <c r="Q7" i="1"/>
  <c r="J7" i="1"/>
  <c r="K22" i="1"/>
  <c r="D43" i="1"/>
  <c r="C43" i="1"/>
  <c r="E43" i="1" l="1"/>
  <c r="K30" i="1"/>
  <c r="K28" i="1"/>
  <c r="K17" i="1"/>
  <c r="R43" i="1" l="1"/>
  <c r="Q43" i="1"/>
  <c r="J43" i="1"/>
  <c r="D15" i="1"/>
  <c r="D44" i="1" s="1"/>
  <c r="D45" i="1" s="1"/>
  <c r="I5" i="1"/>
  <c r="E5" i="1"/>
  <c r="I45" i="1" l="1"/>
  <c r="K43" i="1"/>
  <c r="H45" i="1"/>
  <c r="C44" i="1"/>
  <c r="C45" i="1" s="1"/>
  <c r="K14" i="1" l="1"/>
  <c r="E15" i="1"/>
  <c r="Q15" i="1" l="1"/>
  <c r="R15" i="1"/>
  <c r="J15" i="1"/>
  <c r="E44" i="1"/>
  <c r="K44" i="1" s="1"/>
  <c r="K15" i="1"/>
  <c r="R44" i="1" l="1"/>
  <c r="Q44" i="1"/>
  <c r="J44" i="1"/>
  <c r="E45" i="1"/>
</calcChain>
</file>

<file path=xl/sharedStrings.xml><?xml version="1.0" encoding="utf-8"?>
<sst xmlns="http://schemas.openxmlformats.org/spreadsheetml/2006/main" count="264" uniqueCount="124">
  <si>
    <t>Community &amp; Technical College System</t>
  </si>
  <si>
    <t>Dollars in Thousands</t>
  </si>
  <si>
    <t>Budget Items</t>
  </si>
  <si>
    <t>Total Carry Forward Level</t>
  </si>
  <si>
    <t>Maintenance Level Changes</t>
  </si>
  <si>
    <t xml:space="preserve">M&amp;O </t>
  </si>
  <si>
    <t xml:space="preserve">CAP Inflation Adjustment </t>
  </si>
  <si>
    <t>%</t>
  </si>
  <si>
    <t>Health Benefits</t>
  </si>
  <si>
    <t>Dollars</t>
  </si>
  <si>
    <t>Compensation Items</t>
  </si>
  <si>
    <t xml:space="preserve">Difference </t>
  </si>
  <si>
    <t>Senate</t>
  </si>
  <si>
    <t>New Policy Investments</t>
  </si>
  <si>
    <t>Funding at Maintenance Level</t>
  </si>
  <si>
    <t xml:space="preserve">SBCTC </t>
  </si>
  <si>
    <t>Governor</t>
  </si>
  <si>
    <t>House</t>
  </si>
  <si>
    <t>Biennial Total</t>
  </si>
  <si>
    <t xml:space="preserve">Subtotal </t>
  </si>
  <si>
    <t>Item Details</t>
  </si>
  <si>
    <t>2021-23 Biennial Budget</t>
  </si>
  <si>
    <t>Including State General Fund, Education Legacy Account and Workforce Education Investment Account</t>
  </si>
  <si>
    <t>FY 2022</t>
  </si>
  <si>
    <t>FY 2023</t>
  </si>
  <si>
    <t xml:space="preserve">I-732 COLA </t>
  </si>
  <si>
    <t>2019-21 Expenditure Authority</t>
  </si>
  <si>
    <t>I-732 Suspension</t>
  </si>
  <si>
    <t>Non-Represented Wage Decrease</t>
  </si>
  <si>
    <t>Employee Benefits</t>
  </si>
  <si>
    <t>Temporary Layoffs and Other Savings</t>
  </si>
  <si>
    <t>Other Benefits &amp; Central Services</t>
  </si>
  <si>
    <t>Percent Change from Carry Forward Level</t>
  </si>
  <si>
    <t xml:space="preserve">I-732 </t>
  </si>
  <si>
    <t>Equitable Recovery - Anti-Racist Curriculum Review</t>
  </si>
  <si>
    <t>Equitable Recovery - Virtual Technology Improvements</t>
  </si>
  <si>
    <t>Workforce Development - Job Skills</t>
  </si>
  <si>
    <t>Workforce Development - Worker Retraining</t>
  </si>
  <si>
    <t>Notes</t>
  </si>
  <si>
    <t>Cut reduced by $15M/yr.</t>
  </si>
  <si>
    <t>House (Chair)</t>
  </si>
  <si>
    <t>Senate (Chair)</t>
  </si>
  <si>
    <t>Difference from SBCTC Request</t>
  </si>
  <si>
    <t>Pension Rate Change</t>
  </si>
  <si>
    <t>SB 5227 Diversity/Higher Education</t>
  </si>
  <si>
    <t>SB 5194 - Equity &amp; Access in Higher Ed ($ from WEIA)</t>
  </si>
  <si>
    <t>Workforce Development - High Demand</t>
  </si>
  <si>
    <t>Workforce Development - Career Launch</t>
  </si>
  <si>
    <t>Running Start Data</t>
  </si>
  <si>
    <t>Remove FSA Funding</t>
  </si>
  <si>
    <t>Rep Employee Benefits</t>
  </si>
  <si>
    <t>I-732 is funded for next biennium at 1.9% in FY 22 and 2.8% in FY 23.</t>
  </si>
  <si>
    <t>Our request for Job Skills Program is fully funded in the Senate and Governor's budgets.</t>
  </si>
  <si>
    <t>Both the Senate and the Governor provided $2 million each for High Demand and Career Launch enrollments.</t>
  </si>
  <si>
    <t>Health insurance funding rate  is $936 per employee per month in FY 22 and $1,091 in FY 23.</t>
  </si>
  <si>
    <t>Funding is provided for SBCTC to provide Running Start data to a workgroup led by the Student Achievement Council</t>
  </si>
  <si>
    <t>All Maintenance Level Changes</t>
  </si>
  <si>
    <t>Total Funding at Maintenance Level</t>
  </si>
  <si>
    <t xml:space="preserve">Policy Level Subtotal </t>
  </si>
  <si>
    <t>Benefit Rate Changes (subtotal)</t>
  </si>
  <si>
    <t>Central Service Adjustments</t>
  </si>
  <si>
    <t>Mental Health Pilot Programs</t>
  </si>
  <si>
    <t>Emergency Assistance Grants (1839)</t>
  </si>
  <si>
    <t xml:space="preserve">Guided Pathways </t>
  </si>
  <si>
    <t>Students Experiencing Homelessness</t>
  </si>
  <si>
    <t>Menstrual Products</t>
  </si>
  <si>
    <t>Postsecondary Ed and Internet</t>
  </si>
  <si>
    <t>I-732 is funded for next biennium at 1.7% in FY 22 and 2.2% in FY 23.</t>
  </si>
  <si>
    <t>Our request for Job Skills Program is fully funded in the House, Senate and Governor's budgets.</t>
  </si>
  <si>
    <t>The House, Senate and the Governor provided $2 million each for High Demand and Career Launch enrollments.</t>
  </si>
  <si>
    <t>Funding is provided for faculty stipends to conduct collaborative curricula review for English 101, and report back by June 30, 2023, on the process for centralized and individual</t>
  </si>
  <si>
    <t>6,7</t>
  </si>
  <si>
    <t>Funding is provided for technology grants to convert professional technical and laboratory-based instruction to an interactive online format, such as virtual simulations and digital laboratories.</t>
  </si>
  <si>
    <t>Funding is provided for a pilot program to increase student access to mental health counseling and services.  A report is due June 30, 2023.</t>
  </si>
  <si>
    <t>Funding is provided for additional implementation of Guided Pathways</t>
  </si>
  <si>
    <t>Funding is provided for the implementation of Substitute House Bill 1166 (college students pilot).</t>
  </si>
  <si>
    <t>Funding is provided for Second Substitute House Bill 1044 (prison to postsecondary education) that implements postsecondary education certificate and degree programs at state correctional institutions.</t>
  </si>
  <si>
    <t>Funding is provided for emergency assistance grants for students.</t>
  </si>
  <si>
    <t>Funding is provided to implement Engrossed Substitute House Bill 1273 (menstrual products/schools).</t>
  </si>
  <si>
    <t>Removes agency specific funding for $250 contributions to flexible spending accounts for certain employees making less than $50,004 per year.  This funding was added as part of the funding for collective bargaining agreements in the 2019-21 biennial budget.  This benefit will continue in the 2021-23 biennium but will now be covered as part of the employer portion of Public Employees’ Benefits Board funding rate.</t>
  </si>
  <si>
    <t>Governor Updated 2-16-21</t>
  </si>
  <si>
    <t>Represented Employee Benefits</t>
  </si>
  <si>
    <t xml:space="preserve">Guided Pathways  - Additional Funding </t>
  </si>
  <si>
    <t>I-732 Suspended</t>
  </si>
  <si>
    <t>I-732 Provided - 1.7% FY22 and 2.2% FY 23</t>
  </si>
  <si>
    <t>Compensation Items Subtotal</t>
  </si>
  <si>
    <t>SBCTC Request</t>
  </si>
  <si>
    <t>Proposed to expand pilot projects to entire system.</t>
  </si>
  <si>
    <t>Fully funded</t>
  </si>
  <si>
    <t>Partially funded</t>
  </si>
  <si>
    <t>Proposed funds for new tools to improve online instruction.</t>
  </si>
  <si>
    <t>Proposed funds to expand Job Skills program.</t>
  </si>
  <si>
    <t>Proposed funds for additional worker retraining enrollments.</t>
  </si>
  <si>
    <t>Proposed additional high demand enrollments.</t>
  </si>
  <si>
    <t>Additional Career Launch funding.</t>
  </si>
  <si>
    <t xml:space="preserve">Guided Pathways  (GP) - Additional Funding </t>
  </si>
  <si>
    <t>Fully funds GP as planned in WEIA (2019).</t>
  </si>
  <si>
    <t>Funds ESSB 5194</t>
  </si>
  <si>
    <t>Funds ESSB 5227</t>
  </si>
  <si>
    <t xml:space="preserve">Funding for data reporting requirements </t>
  </si>
  <si>
    <t>Mental Health Pilot Programs (1468)</t>
  </si>
  <si>
    <t xml:space="preserve">Funding for a pilot to increase student access to mental health counseling and services. </t>
  </si>
  <si>
    <t xml:space="preserve">Funding for HB 1166. </t>
  </si>
  <si>
    <t>Emergency Assistance Grants (1893)</t>
  </si>
  <si>
    <t>2021-23 Total Proposed Budget</t>
  </si>
  <si>
    <t>Funding for HB 1273.</t>
  </si>
  <si>
    <t>Funding for HB 1044 implements education certificate and degree programs at  correctional institutions</t>
  </si>
  <si>
    <t xml:space="preserve">** The House would require Olympic college to spend $100,000 of its Guided Pathways allocation on a navigator to serve corrections education. It would not change the amount of funding provided to Olympic. </t>
  </si>
  <si>
    <t>Fully funds GP as planned in WEIA (2019).**</t>
  </si>
  <si>
    <t>Wage Increase Policy</t>
  </si>
  <si>
    <t>Employer Monthly Health Benefit Rate (per eligible employee) - Current rate is $993</t>
  </si>
  <si>
    <t>FY 2022 - $936
FY 2023 - $1,091</t>
  </si>
  <si>
    <t>House 
Floor</t>
  </si>
  <si>
    <r>
      <t xml:space="preserve">Other than I-732 COLA for faculty and technical college classified employees, there are no </t>
    </r>
    <r>
      <rPr>
        <i/>
        <sz val="10"/>
        <color theme="1"/>
        <rFont val="Calibri"/>
        <family val="2"/>
        <scheme val="minor"/>
      </rPr>
      <t>new</t>
    </r>
    <r>
      <rPr>
        <sz val="10"/>
        <color theme="1"/>
        <rFont val="Calibri"/>
        <family val="2"/>
        <scheme val="minor"/>
      </rPr>
      <t xml:space="preserve"> wage increases. The 3 percent increase for exempt employees that was authorized for July 1, 2020 is delayed until July  1, 2021 (authorized and funded).   Continued funding for those increases and the other general salary increases provided on July 1, 2020 is included in the base budget. </t>
    </r>
  </si>
  <si>
    <t xml:space="preserve">Pension Funding Council at PFC 2021-2023 contribution rates  </t>
  </si>
  <si>
    <t>Pension Rate Reductions</t>
  </si>
  <si>
    <t>Conference</t>
  </si>
  <si>
    <t>Other Adjustments</t>
  </si>
  <si>
    <t>Difference from Senate</t>
  </si>
  <si>
    <t xml:space="preserve">Senate </t>
  </si>
  <si>
    <t>Difference from House</t>
  </si>
  <si>
    <t>Not funded</t>
  </si>
  <si>
    <t xml:space="preserve">Funding for simplified data reporting requirements </t>
  </si>
  <si>
    <t>Funding for Student Emergency Assistance Grants (HB 1839,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</si>
</sst>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1" x14ac:knownFonts="1">
    <font>
      <sz val="11"/>
      <color theme="1"/>
      <name val="Calibri"/>
      <family val="2"/>
      <scheme val="minor"/>
    </font>
    <font>
      <sz val="11"/>
      <color theme="1"/>
      <name val="Calibri"/>
      <family val="2"/>
      <scheme val="minor"/>
    </font>
    <font>
      <sz val="10"/>
      <color indexed="8"/>
      <name val="Arial"/>
      <family val="2"/>
    </font>
    <font>
      <sz val="9"/>
      <color indexed="8"/>
      <name val="Times New Roman"/>
      <family val="1"/>
    </font>
    <font>
      <sz val="10"/>
      <color indexed="8"/>
      <name val="Arial"/>
      <family val="2"/>
    </font>
    <font>
      <sz val="10"/>
      <color indexed="8"/>
      <name val="Calibri"/>
      <family val="2"/>
      <scheme val="minor"/>
    </font>
    <font>
      <i/>
      <sz val="9"/>
      <color indexed="8"/>
      <name val="Times New Roman"/>
      <family val="1"/>
    </font>
    <font>
      <sz val="10"/>
      <color theme="1"/>
      <name val="Calibri"/>
      <family val="2"/>
      <scheme val="minor"/>
    </font>
    <font>
      <i/>
      <sz val="10"/>
      <color indexed="8"/>
      <name val="Calibri"/>
      <family val="2"/>
      <scheme val="minor"/>
    </font>
    <font>
      <i/>
      <sz val="9"/>
      <color indexed="8"/>
      <name val="Calibri"/>
      <family val="2"/>
      <scheme val="minor"/>
    </font>
    <font>
      <i/>
      <sz val="11"/>
      <color indexed="8"/>
      <name val="Calibri"/>
      <family val="2"/>
      <scheme val="minor"/>
    </font>
    <font>
      <sz val="11"/>
      <color indexed="8"/>
      <name val="Calibri"/>
      <family val="2"/>
      <scheme val="minor"/>
    </font>
    <font>
      <b/>
      <sz val="11"/>
      <color indexed="8"/>
      <name val="Calibri"/>
      <family val="2"/>
      <scheme val="minor"/>
    </font>
    <font>
      <b/>
      <sz val="12"/>
      <color theme="1"/>
      <name val="Calibri"/>
      <family val="2"/>
    </font>
    <font>
      <sz val="12"/>
      <color indexed="8"/>
      <name val="Arial"/>
      <family val="2"/>
    </font>
    <font>
      <b/>
      <sz val="10"/>
      <color theme="1"/>
      <name val="Calibri"/>
      <family val="2"/>
      <scheme val="minor"/>
    </font>
    <font>
      <b/>
      <sz val="14"/>
      <color indexed="8"/>
      <name val="Calibri"/>
      <family val="2"/>
      <scheme val="minor"/>
    </font>
    <font>
      <b/>
      <sz val="10"/>
      <color indexed="8"/>
      <name val="Calibri"/>
      <family val="2"/>
      <scheme val="minor"/>
    </font>
    <font>
      <sz val="10"/>
      <color rgb="FF000000"/>
      <name val="Times New Roman"/>
      <family val="2"/>
    </font>
    <font>
      <sz val="10"/>
      <name val="Calibri"/>
      <family val="2"/>
      <scheme val="minor"/>
    </font>
    <font>
      <sz val="10"/>
      <color rgb="FF000000"/>
      <name val="Calibri"/>
      <family val="2"/>
      <scheme val="minor"/>
    </font>
    <font>
      <b/>
      <i/>
      <sz val="9"/>
      <color indexed="8"/>
      <name val="Arial"/>
      <family val="2"/>
    </font>
    <font>
      <b/>
      <sz val="11"/>
      <color theme="1"/>
      <name val="Calibri"/>
      <family val="2"/>
      <scheme val="minor"/>
    </font>
    <font>
      <b/>
      <i/>
      <sz val="10"/>
      <color indexed="8"/>
      <name val="Calibri"/>
      <family val="2"/>
      <scheme val="minor"/>
    </font>
    <font>
      <b/>
      <u/>
      <sz val="10"/>
      <color indexed="8"/>
      <name val="Calibri"/>
      <family val="2"/>
      <scheme val="minor"/>
    </font>
    <font>
      <b/>
      <u/>
      <sz val="10"/>
      <color theme="1"/>
      <name val="Calibri"/>
      <family val="2"/>
      <scheme val="minor"/>
    </font>
    <font>
      <b/>
      <i/>
      <sz val="10"/>
      <color indexed="8"/>
      <name val="Arial"/>
      <family val="2"/>
    </font>
    <font>
      <u/>
      <sz val="11"/>
      <color theme="1"/>
      <name val="Calibri"/>
      <family val="2"/>
      <scheme val="minor"/>
    </font>
    <font>
      <b/>
      <u/>
      <sz val="11"/>
      <color theme="1"/>
      <name val="Calibri"/>
      <family val="2"/>
      <scheme val="minor"/>
    </font>
    <font>
      <i/>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bottom/>
      <diagonal/>
    </border>
  </borders>
  <cellStyleXfs count="9">
    <xf numFmtId="0" fontId="0" fillId="0" borderId="0"/>
    <xf numFmtId="0" fontId="2" fillId="0" borderId="0">
      <alignment vertical="top"/>
    </xf>
    <xf numFmtId="9" fontId="4" fillId="0" borderId="0" applyFont="0" applyFill="0" applyBorder="0" applyAlignment="0" applyProtection="0">
      <alignment vertical="top"/>
    </xf>
    <xf numFmtId="0" fontId="1" fillId="0" borderId="0"/>
    <xf numFmtId="43" fontId="4" fillId="0" borderId="0" applyFont="0" applyFill="0" applyBorder="0" applyAlignment="0" applyProtection="0"/>
    <xf numFmtId="0" fontId="4" fillId="0" borderId="0">
      <alignment vertical="top"/>
    </xf>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157">
    <xf numFmtId="0" fontId="0" fillId="0" borderId="0" xfId="0"/>
    <xf numFmtId="0" fontId="2" fillId="0" borderId="0" xfId="1" applyAlignment="1">
      <alignment horizontal="left"/>
    </xf>
    <xf numFmtId="0" fontId="3" fillId="0" borderId="0" xfId="1" applyFont="1" applyBorder="1" applyAlignment="1">
      <alignment horizontal="left" wrapText="1" readingOrder="1"/>
    </xf>
    <xf numFmtId="0" fontId="6" fillId="0" borderId="0" xfId="1" applyFont="1" applyBorder="1" applyAlignment="1">
      <alignment horizontal="left" readingOrder="1"/>
    </xf>
    <xf numFmtId="0" fontId="8" fillId="0" borderId="0" xfId="1" applyFont="1" applyBorder="1" applyAlignment="1">
      <alignment horizontal="left" readingOrder="1"/>
    </xf>
    <xf numFmtId="0" fontId="9" fillId="0" borderId="0" xfId="1" applyFont="1" applyAlignment="1">
      <alignment horizontal="left"/>
    </xf>
    <xf numFmtId="0" fontId="12" fillId="0" borderId="3" xfId="1" applyFont="1" applyBorder="1" applyAlignment="1">
      <alignment horizontal="left"/>
    </xf>
    <xf numFmtId="0" fontId="12" fillId="0" borderId="3" xfId="1" applyFont="1" applyBorder="1" applyAlignment="1">
      <alignment horizontal="right"/>
    </xf>
    <xf numFmtId="0" fontId="5" fillId="0" borderId="0" xfId="1" applyFont="1" applyBorder="1" applyAlignment="1">
      <alignment horizontal="left" wrapText="1" readingOrder="1"/>
    </xf>
    <xf numFmtId="0" fontId="15" fillId="2" borderId="0" xfId="3" applyFont="1" applyFill="1" applyBorder="1" applyAlignment="1">
      <alignment horizontal="center" wrapText="1" readingOrder="1"/>
    </xf>
    <xf numFmtId="0" fontId="6" fillId="0" borderId="0" xfId="1" applyFont="1" applyBorder="1" applyAlignment="1">
      <alignment horizontal="left" vertical="center" readingOrder="1"/>
    </xf>
    <xf numFmtId="9" fontId="10" fillId="0" borderId="0" xfId="2" applyFont="1" applyAlignment="1">
      <alignment horizontal="right"/>
    </xf>
    <xf numFmtId="0" fontId="16" fillId="0" borderId="0" xfId="1" applyFont="1" applyAlignment="1">
      <alignment horizontal="left"/>
    </xf>
    <xf numFmtId="164" fontId="2" fillId="0" borderId="0" xfId="4" applyNumberFormat="1" applyFont="1" applyAlignment="1">
      <alignment horizontal="right"/>
    </xf>
    <xf numFmtId="164" fontId="7" fillId="0" borderId="0" xfId="4" applyNumberFormat="1" applyFont="1" applyBorder="1"/>
    <xf numFmtId="0" fontId="5" fillId="0" borderId="0" xfId="1" applyFont="1" applyAlignment="1">
      <alignment horizontal="left"/>
    </xf>
    <xf numFmtId="0" fontId="5" fillId="0" borderId="0" xfId="1" applyFont="1" applyFill="1" applyAlignment="1">
      <alignment horizontal="left"/>
    </xf>
    <xf numFmtId="0" fontId="17" fillId="0" borderId="0" xfId="1" applyFont="1" applyAlignment="1">
      <alignment horizontal="left"/>
    </xf>
    <xf numFmtId="164" fontId="5" fillId="0" borderId="0" xfId="4" applyNumberFormat="1" applyFont="1" applyBorder="1" applyAlignment="1">
      <alignment horizontal="right"/>
    </xf>
    <xf numFmtId="164" fontId="17" fillId="0" borderId="0" xfId="4" applyNumberFormat="1" applyFont="1" applyBorder="1" applyAlignment="1">
      <alignment horizontal="right"/>
    </xf>
    <xf numFmtId="37" fontId="5" fillId="0" borderId="0" xfId="1" applyNumberFormat="1" applyFont="1" applyFill="1" applyBorder="1" applyAlignment="1">
      <alignment horizontal="right"/>
    </xf>
    <xf numFmtId="37" fontId="5" fillId="0" borderId="0" xfId="1" applyNumberFormat="1" applyFont="1" applyBorder="1" applyAlignment="1">
      <alignment horizontal="right"/>
    </xf>
    <xf numFmtId="164" fontId="5" fillId="0" borderId="0" xfId="4" applyNumberFormat="1" applyFont="1" applyFill="1" applyBorder="1" applyAlignment="1">
      <alignment horizontal="right"/>
    </xf>
    <xf numFmtId="37" fontId="17" fillId="0" borderId="0" xfId="1" applyNumberFormat="1" applyFont="1" applyBorder="1" applyAlignment="1">
      <alignment horizontal="right"/>
    </xf>
    <xf numFmtId="37" fontId="17" fillId="0" borderId="4" xfId="1" applyNumberFormat="1" applyFont="1" applyBorder="1" applyAlignment="1">
      <alignment horizontal="right"/>
    </xf>
    <xf numFmtId="37" fontId="17" fillId="0" borderId="5" xfId="1" applyNumberFormat="1" applyFont="1" applyBorder="1" applyAlignment="1">
      <alignment horizontal="right"/>
    </xf>
    <xf numFmtId="0" fontId="2" fillId="0" borderId="0" xfId="1" applyAlignment="1">
      <alignment horizontal="center"/>
    </xf>
    <xf numFmtId="0" fontId="6" fillId="0" borderId="0" xfId="1" applyFont="1" applyBorder="1" applyAlignment="1">
      <alignment horizontal="center"/>
    </xf>
    <xf numFmtId="164" fontId="18" fillId="0" borderId="0" xfId="6" applyNumberFormat="1" applyFont="1" applyFill="1" applyBorder="1" applyAlignment="1">
      <alignment vertical="center" wrapText="1"/>
    </xf>
    <xf numFmtId="164" fontId="18" fillId="0" borderId="0" xfId="6" applyNumberFormat="1" applyFont="1" applyFill="1" applyBorder="1" applyAlignment="1">
      <alignment vertical="top" wrapText="1"/>
    </xf>
    <xf numFmtId="0" fontId="7" fillId="0" borderId="0" xfId="0" applyFont="1" applyFill="1" applyBorder="1" applyAlignment="1">
      <alignment horizontal="left" vertical="top" wrapText="1"/>
    </xf>
    <xf numFmtId="0" fontId="19" fillId="0" borderId="0" xfId="0" applyFont="1" applyFill="1" applyBorder="1" applyAlignment="1">
      <alignment vertical="top" wrapText="1"/>
    </xf>
    <xf numFmtId="164" fontId="20" fillId="0" borderId="0" xfId="6" applyNumberFormat="1" applyFont="1" applyFill="1" applyBorder="1" applyAlignment="1">
      <alignment vertical="center" wrapText="1"/>
    </xf>
    <xf numFmtId="164" fontId="20" fillId="0" borderId="0" xfId="6" applyNumberFormat="1" applyFont="1" applyFill="1" applyBorder="1" applyAlignment="1">
      <alignment vertical="top" wrapText="1"/>
    </xf>
    <xf numFmtId="164" fontId="15" fillId="0" borderId="0" xfId="4" applyNumberFormat="1" applyFont="1" applyBorder="1"/>
    <xf numFmtId="9" fontId="7" fillId="0" borderId="0" xfId="2" applyNumberFormat="1" applyFont="1" applyAlignment="1"/>
    <xf numFmtId="0" fontId="7" fillId="0" borderId="0" xfId="0" applyFont="1" applyAlignment="1">
      <alignment horizontal="center"/>
    </xf>
    <xf numFmtId="0" fontId="7" fillId="0" borderId="0" xfId="0" applyFont="1"/>
    <xf numFmtId="0" fontId="19" fillId="0" borderId="0" xfId="0" applyFont="1" applyFill="1" applyBorder="1" applyAlignment="1">
      <alignment vertical="top"/>
    </xf>
    <xf numFmtId="0" fontId="0" fillId="0" borderId="0" xfId="0" applyAlignment="1"/>
    <xf numFmtId="0" fontId="7" fillId="0" borderId="0" xfId="0" applyFont="1" applyAlignment="1">
      <alignment vertical="center"/>
    </xf>
    <xf numFmtId="0" fontId="7" fillId="0" borderId="0" xfId="0" applyFont="1" applyFill="1" applyBorder="1" applyAlignment="1">
      <alignment vertical="center"/>
    </xf>
    <xf numFmtId="0" fontId="0" fillId="0" borderId="0" xfId="0" applyBorder="1"/>
    <xf numFmtId="37" fontId="17" fillId="3" borderId="0" xfId="1" applyNumberFormat="1" applyFont="1" applyFill="1" applyBorder="1" applyAlignment="1">
      <alignment horizontal="right"/>
    </xf>
    <xf numFmtId="164" fontId="7" fillId="0" borderId="0" xfId="6" applyNumberFormat="1" applyFont="1" applyFill="1" applyBorder="1"/>
    <xf numFmtId="3" fontId="22" fillId="0" borderId="0" xfId="0" applyNumberFormat="1" applyFont="1" applyAlignment="1">
      <alignment vertical="center" wrapText="1"/>
    </xf>
    <xf numFmtId="0" fontId="6" fillId="0" borderId="0" xfId="1" applyFont="1" applyBorder="1" applyAlignment="1">
      <alignment horizontal="center" readingOrder="1"/>
    </xf>
    <xf numFmtId="37" fontId="17" fillId="0" borderId="0" xfId="1" applyNumberFormat="1" applyFont="1" applyFill="1" applyBorder="1" applyAlignment="1">
      <alignment horizontal="right"/>
    </xf>
    <xf numFmtId="37" fontId="23" fillId="0" borderId="0" xfId="1" applyNumberFormat="1" applyFont="1" applyFill="1" applyBorder="1" applyAlignment="1">
      <alignment horizontal="right"/>
    </xf>
    <xf numFmtId="164" fontId="2" fillId="0" borderId="0" xfId="4" applyNumberFormat="1" applyFont="1" applyFill="1" applyAlignment="1">
      <alignment horizontal="right"/>
    </xf>
    <xf numFmtId="0" fontId="6" fillId="0" borderId="0" xfId="1" applyFont="1" applyFill="1" applyBorder="1" applyAlignment="1">
      <alignment horizontal="center" readingOrder="1"/>
    </xf>
    <xf numFmtId="0" fontId="0" fillId="0" borderId="0" xfId="0" applyFill="1"/>
    <xf numFmtId="0" fontId="7" fillId="0" borderId="0" xfId="0" applyFont="1" applyAlignment="1">
      <alignment vertical="center" wrapText="1"/>
    </xf>
    <xf numFmtId="0" fontId="7" fillId="0" borderId="0" xfId="0" applyFont="1" applyFill="1"/>
    <xf numFmtId="0" fontId="7" fillId="0" borderId="0" xfId="0" applyFont="1" applyBorder="1" applyAlignment="1">
      <alignment horizontal="left" vertical="center" wrapText="1"/>
    </xf>
    <xf numFmtId="0" fontId="0" fillId="0" borderId="0" xfId="0"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24" fillId="0" borderId="0" xfId="1" applyFont="1" applyAlignment="1">
      <alignment horizontal="left"/>
    </xf>
    <xf numFmtId="37" fontId="5" fillId="0" borderId="0" xfId="1" applyNumberFormat="1" applyFont="1" applyBorder="1" applyAlignment="1">
      <alignment horizontal="center"/>
    </xf>
    <xf numFmtId="9" fontId="5" fillId="0" borderId="0" xfId="7" applyFont="1" applyBorder="1" applyAlignment="1">
      <alignment horizontal="right"/>
    </xf>
    <xf numFmtId="0" fontId="14" fillId="0" borderId="3" xfId="1" applyFont="1" applyBorder="1" applyAlignment="1">
      <alignment horizontal="left"/>
    </xf>
    <xf numFmtId="0" fontId="7" fillId="0" borderId="0" xfId="0" applyFont="1" applyFill="1" applyBorder="1" applyAlignment="1">
      <alignment vertical="top"/>
    </xf>
    <xf numFmtId="0" fontId="25" fillId="0" borderId="0" xfId="0" applyFont="1" applyFill="1" applyBorder="1" applyAlignment="1">
      <alignment vertical="top"/>
    </xf>
    <xf numFmtId="3" fontId="7" fillId="0" borderId="0" xfId="1" applyNumberFormat="1" applyFont="1" applyBorder="1" applyAlignment="1">
      <alignment horizontal="right" readingOrder="1"/>
    </xf>
    <xf numFmtId="37" fontId="5" fillId="0" borderId="0" xfId="1" applyNumberFormat="1" applyFont="1" applyBorder="1" applyAlignment="1">
      <alignment readingOrder="1"/>
    </xf>
    <xf numFmtId="0" fontId="15" fillId="2" borderId="0" xfId="3" applyFont="1" applyFill="1" applyBorder="1" applyAlignment="1">
      <alignment horizontal="center" wrapText="1"/>
    </xf>
    <xf numFmtId="37" fontId="5" fillId="0" borderId="0" xfId="1" applyNumberFormat="1" applyFont="1" applyFill="1" applyBorder="1" applyAlignment="1">
      <alignment readingOrder="1"/>
    </xf>
    <xf numFmtId="0" fontId="5" fillId="0" borderId="0" xfId="1" applyFont="1" applyBorder="1" applyAlignment="1">
      <alignment horizontal="left"/>
    </xf>
    <xf numFmtId="9" fontId="5" fillId="0" borderId="0" xfId="1" applyNumberFormat="1" applyFont="1" applyBorder="1" applyAlignment="1">
      <alignment horizontal="right"/>
    </xf>
    <xf numFmtId="9" fontId="5" fillId="0" borderId="0" xfId="2" applyFont="1" applyBorder="1" applyAlignment="1">
      <alignment horizontal="right"/>
    </xf>
    <xf numFmtId="164" fontId="8" fillId="0" borderId="0" xfId="4" applyNumberFormat="1" applyFont="1" applyFill="1" applyBorder="1" applyAlignment="1">
      <alignment horizontal="right"/>
    </xf>
    <xf numFmtId="164" fontId="13" fillId="0" borderId="3" xfId="4" applyNumberFormat="1" applyFont="1" applyFill="1" applyBorder="1" applyAlignment="1">
      <alignment horizontal="center" vertical="center"/>
    </xf>
    <xf numFmtId="0" fontId="12" fillId="0" borderId="6" xfId="1" applyFont="1" applyBorder="1" applyAlignment="1">
      <alignment horizontal="right"/>
    </xf>
    <xf numFmtId="0" fontId="5" fillId="0" borderId="0" xfId="1" applyFont="1" applyFill="1" applyBorder="1" applyAlignment="1">
      <alignment horizontal="left"/>
    </xf>
    <xf numFmtId="9" fontId="5" fillId="0" borderId="0" xfId="7" applyFont="1" applyFill="1" applyBorder="1" applyAlignment="1">
      <alignment horizontal="right"/>
    </xf>
    <xf numFmtId="164" fontId="15" fillId="0" borderId="0" xfId="4" applyNumberFormat="1" applyFont="1" applyFill="1" applyBorder="1"/>
    <xf numFmtId="164" fontId="7" fillId="0" borderId="0" xfId="4" applyNumberFormat="1" applyFont="1" applyFill="1" applyBorder="1"/>
    <xf numFmtId="37" fontId="17" fillId="0" borderId="7" xfId="1" applyNumberFormat="1" applyFont="1" applyFill="1" applyBorder="1" applyAlignment="1">
      <alignment horizontal="right"/>
    </xf>
    <xf numFmtId="0" fontId="17" fillId="0" borderId="6" xfId="1" applyFont="1" applyFill="1" applyBorder="1" applyAlignment="1">
      <alignment horizontal="right"/>
    </xf>
    <xf numFmtId="0" fontId="26" fillId="0" borderId="6" xfId="1" applyFont="1" applyFill="1" applyBorder="1" applyAlignment="1">
      <alignment horizontal="center"/>
    </xf>
    <xf numFmtId="0" fontId="22" fillId="0" borderId="0" xfId="0" applyFont="1" applyAlignment="1">
      <alignment horizontal="left" vertical="center"/>
    </xf>
    <xf numFmtId="0" fontId="0" fillId="0" borderId="0" xfId="0" applyAlignment="1">
      <alignment horizontal="center" vertical="center"/>
    </xf>
    <xf numFmtId="0" fontId="27" fillId="0" borderId="0" xfId="0" applyFont="1" applyAlignment="1">
      <alignment horizontal="center" vertical="center"/>
    </xf>
    <xf numFmtId="3" fontId="27" fillId="0" borderId="0" xfId="0" applyNumberFormat="1" applyFont="1" applyAlignment="1">
      <alignment horizontal="center" vertical="center" wrapText="1"/>
    </xf>
    <xf numFmtId="3" fontId="28" fillId="0" borderId="0" xfId="0" applyNumberFormat="1" applyFont="1" applyFill="1" applyAlignment="1">
      <alignment horizontal="center" vertical="center" wrapText="1"/>
    </xf>
    <xf numFmtId="3" fontId="28" fillId="0" borderId="0" xfId="0" applyNumberFormat="1" applyFont="1" applyAlignment="1">
      <alignment horizontal="center" vertical="center" wrapText="1"/>
    </xf>
    <xf numFmtId="164" fontId="27" fillId="0" borderId="0" xfId="6" applyNumberFormat="1" applyFont="1" applyAlignment="1">
      <alignment horizontal="center" vertical="center"/>
    </xf>
    <xf numFmtId="164" fontId="2" fillId="0" borderId="0" xfId="4" applyNumberFormat="1" applyFont="1" applyAlignment="1"/>
    <xf numFmtId="164" fontId="6" fillId="0" borderId="0" xfId="4" applyNumberFormat="1" applyFont="1" applyBorder="1" applyAlignment="1"/>
    <xf numFmtId="164" fontId="11" fillId="0" borderId="0" xfId="4" applyNumberFormat="1" applyFont="1" applyBorder="1" applyAlignment="1"/>
    <xf numFmtId="0" fontId="2" fillId="0" borderId="0" xfId="1" applyAlignment="1">
      <alignment horizontal="right"/>
    </xf>
    <xf numFmtId="0" fontId="9" fillId="0" borderId="0" xfId="1" applyFont="1" applyBorder="1" applyAlignment="1">
      <alignment horizontal="right" vertical="top" wrapText="1"/>
    </xf>
    <xf numFmtId="0" fontId="0" fillId="0" borderId="0" xfId="0" applyAlignment="1">
      <alignment horizontal="right"/>
    </xf>
    <xf numFmtId="0" fontId="22" fillId="0" borderId="0" xfId="0" applyFont="1" applyAlignment="1">
      <alignment horizontal="right" vertical="center" wrapText="1"/>
    </xf>
    <xf numFmtId="0" fontId="5" fillId="0" borderId="0" xfId="1" applyFont="1" applyFill="1" applyBorder="1" applyAlignment="1">
      <alignment horizontal="left" wrapText="1"/>
    </xf>
    <xf numFmtId="164" fontId="0" fillId="0" borderId="0" xfId="0" applyNumberFormat="1"/>
    <xf numFmtId="37" fontId="0" fillId="0" borderId="0" xfId="0" applyNumberFormat="1"/>
    <xf numFmtId="0" fontId="8" fillId="0" borderId="0" xfId="1" applyFont="1" applyBorder="1" applyAlignment="1">
      <alignment horizontal="left"/>
    </xf>
    <xf numFmtId="0" fontId="8" fillId="0" borderId="0" xfId="1" applyFont="1" applyFill="1" applyBorder="1" applyAlignment="1">
      <alignment horizontal="left"/>
    </xf>
    <xf numFmtId="0" fontId="21" fillId="0" borderId="3" xfId="1" applyFont="1" applyBorder="1" applyAlignment="1"/>
    <xf numFmtId="0" fontId="17" fillId="0" borderId="6" xfId="1" applyFont="1" applyFill="1" applyBorder="1" applyAlignment="1">
      <alignment horizontal="center"/>
    </xf>
    <xf numFmtId="0" fontId="0" fillId="0" borderId="0" xfId="0" applyFont="1"/>
    <xf numFmtId="37" fontId="0" fillId="0" borderId="0" xfId="0" applyNumberFormat="1" applyFont="1"/>
    <xf numFmtId="37" fontId="17" fillId="0" borderId="6" xfId="1" applyNumberFormat="1" applyFont="1" applyBorder="1" applyAlignment="1">
      <alignment horizontal="right"/>
    </xf>
    <xf numFmtId="164" fontId="5" fillId="0" borderId="0" xfId="4" applyNumberFormat="1" applyFont="1" applyBorder="1" applyAlignment="1"/>
    <xf numFmtId="37" fontId="17" fillId="5" borderId="0" xfId="1" applyNumberFormat="1" applyFont="1" applyFill="1" applyBorder="1" applyAlignment="1">
      <alignment horizontal="right"/>
    </xf>
    <xf numFmtId="37" fontId="23" fillId="5" borderId="0" xfId="1" applyNumberFormat="1" applyFont="1" applyFill="1" applyBorder="1" applyAlignment="1">
      <alignment horizontal="right"/>
    </xf>
    <xf numFmtId="37" fontId="5" fillId="5" borderId="0" xfId="1" applyNumberFormat="1" applyFont="1" applyFill="1" applyBorder="1" applyAlignment="1">
      <alignment horizontal="right"/>
    </xf>
    <xf numFmtId="164" fontId="15" fillId="5" borderId="0" xfId="6" applyNumberFormat="1" applyFont="1" applyFill="1"/>
    <xf numFmtId="0" fontId="7" fillId="0" borderId="0" xfId="0" applyFont="1" applyAlignment="1">
      <alignment horizontal="right" vertical="center"/>
    </xf>
    <xf numFmtId="0" fontId="19" fillId="0" borderId="0" xfId="0" applyFont="1" applyFill="1" applyBorder="1" applyAlignment="1">
      <alignment vertical="center"/>
    </xf>
    <xf numFmtId="0" fontId="5" fillId="0" borderId="0" xfId="1" applyFont="1" applyFill="1" applyAlignment="1">
      <alignment horizontal="left" vertical="center"/>
    </xf>
    <xf numFmtId="0" fontId="7" fillId="5" borderId="0" xfId="0" applyFont="1" applyFill="1" applyBorder="1" applyAlignment="1">
      <alignment vertical="center"/>
    </xf>
    <xf numFmtId="0" fontId="0" fillId="5" borderId="0" xfId="0" applyFill="1" applyAlignment="1">
      <alignment vertical="center"/>
    </xf>
    <xf numFmtId="0" fontId="7" fillId="5" borderId="0" xfId="0" applyFont="1" applyFill="1" applyAlignment="1">
      <alignment vertical="center" wrapText="1"/>
    </xf>
    <xf numFmtId="0" fontId="7" fillId="5" borderId="0" xfId="0" applyFont="1" applyFill="1" applyAlignment="1">
      <alignment vertical="center"/>
    </xf>
    <xf numFmtId="0" fontId="5" fillId="5" borderId="0" xfId="1" applyFont="1" applyFill="1" applyAlignment="1">
      <alignment horizontal="left" vertical="center"/>
    </xf>
    <xf numFmtId="0" fontId="7" fillId="5" borderId="0" xfId="0" applyFont="1" applyFill="1" applyAlignment="1">
      <alignment horizontal="right" vertical="center"/>
    </xf>
    <xf numFmtId="37" fontId="7" fillId="5" borderId="0" xfId="0" applyNumberFormat="1" applyFont="1" applyFill="1" applyAlignment="1">
      <alignment vertical="center"/>
    </xf>
    <xf numFmtId="0" fontId="0" fillId="0" borderId="0" xfId="0" applyFill="1" applyAlignment="1">
      <alignment vertical="center"/>
    </xf>
    <xf numFmtId="0" fontId="7" fillId="0" borderId="0" xfId="0" applyFont="1" applyFill="1" applyAlignment="1">
      <alignment vertical="center" wrapText="1"/>
    </xf>
    <xf numFmtId="0" fontId="6" fillId="0" borderId="0" xfId="1" applyFont="1" applyBorder="1" applyAlignment="1">
      <alignment horizontal="center" wrapText="1" readingOrder="1"/>
    </xf>
    <xf numFmtId="0" fontId="13" fillId="2" borderId="3" xfId="3" applyFont="1" applyFill="1" applyBorder="1" applyAlignment="1">
      <alignment horizontal="center" vertical="center" wrapText="1"/>
    </xf>
    <xf numFmtId="0" fontId="6" fillId="0" borderId="0" xfId="1" applyFont="1" applyBorder="1" applyAlignment="1">
      <alignment horizontal="left" wrapText="1" readingOrder="1"/>
    </xf>
    <xf numFmtId="0" fontId="7" fillId="0" borderId="0" xfId="0" applyFont="1" applyAlignment="1">
      <alignment horizontal="center" vertical="center"/>
    </xf>
    <xf numFmtId="0" fontId="7" fillId="0" borderId="0" xfId="0" applyFont="1" applyBorder="1" applyAlignment="1">
      <alignment horizontal="left" vertical="center" wrapText="1"/>
    </xf>
    <xf numFmtId="0" fontId="13" fillId="2" borderId="1" xfId="3" applyFont="1" applyFill="1" applyBorder="1" applyAlignment="1">
      <alignment horizontal="center" vertical="center"/>
    </xf>
    <xf numFmtId="0" fontId="13" fillId="2" borderId="3" xfId="3" applyFont="1" applyFill="1" applyBorder="1" applyAlignment="1">
      <alignment horizontal="center" vertical="center"/>
    </xf>
    <xf numFmtId="164" fontId="13" fillId="2" borderId="3" xfId="4" applyNumberFormat="1" applyFont="1" applyFill="1" applyBorder="1" applyAlignment="1">
      <alignment horizontal="center" vertical="center" wrapText="1"/>
    </xf>
    <xf numFmtId="0" fontId="7" fillId="0" borderId="0" xfId="0" applyFont="1" applyAlignment="1">
      <alignment horizontal="left" vertical="center" wrapText="1"/>
    </xf>
    <xf numFmtId="164" fontId="13" fillId="2" borderId="2" xfId="4" applyNumberFormat="1" applyFont="1" applyFill="1" applyBorder="1" applyAlignment="1">
      <alignment horizontal="center" vertical="center" wrapText="1"/>
    </xf>
    <xf numFmtId="0" fontId="7" fillId="0" borderId="0" xfId="0" applyFont="1" applyBorder="1" applyAlignment="1">
      <alignment horizontal="left" vertical="center"/>
    </xf>
    <xf numFmtId="0" fontId="7" fillId="5" borderId="0" xfId="0" applyFont="1" applyFill="1" applyAlignment="1">
      <alignment horizontal="left" vertical="center" wrapText="1"/>
    </xf>
    <xf numFmtId="0" fontId="7" fillId="4" borderId="0" xfId="0" applyFont="1" applyFill="1" applyAlignment="1">
      <alignment horizontal="left" vertical="center"/>
    </xf>
    <xf numFmtId="164" fontId="13" fillId="2" borderId="3" xfId="4" applyNumberFormat="1" applyFont="1" applyFill="1" applyBorder="1" applyAlignment="1">
      <alignment horizontal="center" vertical="center"/>
    </xf>
    <xf numFmtId="0" fontId="6" fillId="0" borderId="6" xfId="1" applyFont="1" applyBorder="1" applyAlignment="1">
      <alignment horizontal="left" wrapText="1" readingOrder="1"/>
    </xf>
    <xf numFmtId="0" fontId="7" fillId="4" borderId="0" xfId="0" applyFont="1" applyFill="1" applyAlignment="1">
      <alignment horizontal="left" vertical="center" wrapText="1"/>
    </xf>
    <xf numFmtId="0" fontId="7" fillId="5" borderId="8"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5" borderId="8" xfId="0" applyFont="1" applyFill="1" applyBorder="1" applyAlignment="1">
      <alignment horizontal="left" vertical="center" wrapText="1"/>
    </xf>
    <xf numFmtId="0" fontId="7" fillId="5" borderId="0" xfId="0" applyFont="1" applyFill="1" applyBorder="1" applyAlignment="1">
      <alignment horizontal="left" vertical="center" wrapText="1"/>
    </xf>
    <xf numFmtId="0" fontId="30" fillId="0" borderId="8" xfId="8" applyFill="1" applyBorder="1" applyAlignment="1">
      <alignment horizontal="center" vertical="center" wrapText="1"/>
    </xf>
    <xf numFmtId="0" fontId="30" fillId="0" borderId="0" xfId="8" applyFill="1" applyBorder="1" applyAlignment="1">
      <alignment horizontal="center" vertical="center" wrapText="1"/>
    </xf>
    <xf numFmtId="0" fontId="7" fillId="5" borderId="0" xfId="0" applyFont="1" applyFill="1" applyAlignment="1">
      <alignment horizontal="center" vertical="center"/>
    </xf>
    <xf numFmtId="165" fontId="7" fillId="0" borderId="0" xfId="2" applyNumberFormat="1" applyFont="1" applyAlignment="1"/>
    <xf numFmtId="165" fontId="11" fillId="0" borderId="0" xfId="1" applyNumberFormat="1" applyFont="1" applyFill="1" applyAlignment="1">
      <alignment horizontal="left"/>
    </xf>
    <xf numFmtId="165" fontId="7" fillId="0" borderId="0" xfId="2" applyNumberFormat="1" applyFont="1" applyFill="1" applyAlignment="1"/>
    <xf numFmtId="165" fontId="5" fillId="0" borderId="0" xfId="1" applyNumberFormat="1" applyFont="1" applyFill="1" applyAlignment="1">
      <alignment horizontal="center"/>
    </xf>
    <xf numFmtId="165" fontId="5" fillId="0" borderId="0" xfId="7" applyNumberFormat="1" applyFont="1" applyFill="1" applyAlignment="1">
      <alignment horizontal="right"/>
    </xf>
    <xf numFmtId="165" fontId="7" fillId="0" borderId="0" xfId="2" applyNumberFormat="1" applyFont="1" applyFill="1" applyBorder="1" applyAlignment="1"/>
    <xf numFmtId="165" fontId="11" fillId="0" borderId="0" xfId="4" applyNumberFormat="1" applyFont="1" applyBorder="1" applyAlignment="1"/>
    <xf numFmtId="165" fontId="10" fillId="0" borderId="0" xfId="2" applyNumberFormat="1" applyFont="1" applyAlignment="1">
      <alignment horizontal="right"/>
    </xf>
    <xf numFmtId="165" fontId="0" fillId="0" borderId="0" xfId="0" applyNumberFormat="1"/>
    <xf numFmtId="164" fontId="13" fillId="2" borderId="1" xfId="4" applyNumberFormat="1" applyFont="1" applyFill="1" applyBorder="1" applyAlignment="1">
      <alignment horizontal="center" vertical="center" wrapText="1"/>
    </xf>
  </cellXfs>
  <cellStyles count="9">
    <cellStyle name="Comma" xfId="6" builtinId="3"/>
    <cellStyle name="Comma 2" xfId="4" xr:uid="{00000000-0005-0000-0000-000001000000}"/>
    <cellStyle name="Hyperlink" xfId="8" builtinId="8"/>
    <cellStyle name="Normal" xfId="0" builtinId="0"/>
    <cellStyle name="Normal 2" xfId="5" xr:uid="{00000000-0005-0000-0000-000003000000}"/>
    <cellStyle name="Normal 3" xfId="1" xr:uid="{00000000-0005-0000-0000-000004000000}"/>
    <cellStyle name="Normal 4 3 2" xfId="3" xr:uid="{00000000-0005-0000-0000-000005000000}"/>
    <cellStyle name="Percent" xfId="7" builtinId="5"/>
    <cellStyle name="Percent 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s.wa.gov/wp-content/uploads/2020/08/PFC-2021-2023-contribution-rat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9"/>
  <sheetViews>
    <sheetView tabSelected="1" zoomScaleNormal="100" workbookViewId="0">
      <pane xSplit="2" ySplit="6" topLeftCell="C14" activePane="bottomRight" state="frozen"/>
      <selection pane="topRight" activeCell="C1" sqref="C1"/>
      <selection pane="bottomLeft" activeCell="A7" sqref="A7"/>
      <selection pane="bottomRight" activeCell="A3" sqref="A3:B3"/>
    </sheetView>
  </sheetViews>
  <sheetFormatPr defaultRowHeight="14.25" x14ac:dyDescent="0.45"/>
  <cols>
    <col min="1" max="1" width="1.59765625" customWidth="1"/>
    <col min="2" max="2" width="40.59765625" customWidth="1"/>
    <col min="3" max="4" width="7.9296875" hidden="1" customWidth="1"/>
    <col min="5" max="5" width="19" customWidth="1"/>
    <col min="6" max="6" width="3.46484375" customWidth="1"/>
    <col min="7" max="7" width="7.9296875" hidden="1" customWidth="1"/>
    <col min="8" max="8" width="0.33203125" hidden="1" customWidth="1"/>
    <col min="9" max="9" width="14.796875" customWidth="1"/>
    <col min="10" max="10" width="9" style="36" hidden="1" customWidth="1"/>
    <col min="11" max="11" width="7.06640625" hidden="1" customWidth="1"/>
    <col min="12" max="12" width="7.9296875" hidden="1" customWidth="1"/>
    <col min="13" max="13" width="3.33203125" customWidth="1"/>
    <col min="14" max="14" width="8.265625" hidden="1" customWidth="1"/>
    <col min="15" max="15" width="9.59765625" hidden="1" customWidth="1"/>
    <col min="16" max="16" width="17.265625" customWidth="1"/>
    <col min="17" max="17" width="10.33203125" style="36" hidden="1" customWidth="1"/>
    <col min="18" max="18" width="5.3984375" hidden="1" customWidth="1"/>
    <col min="19" max="19" width="5.265625" hidden="1" customWidth="1"/>
    <col min="20" max="20" width="3.59765625" style="51" customWidth="1"/>
    <col min="21" max="22" width="7.9296875" hidden="1" customWidth="1"/>
    <col min="23" max="23" width="18.73046875" customWidth="1"/>
    <col min="24" max="24" width="10.73046875" style="39" hidden="1" customWidth="1"/>
    <col min="25" max="25" width="7.9296875" style="93" hidden="1" customWidth="1"/>
    <col min="26" max="26" width="2.6640625" customWidth="1"/>
    <col min="27" max="28" width="11.73046875" hidden="1" customWidth="1"/>
    <col min="29" max="29" width="16.1328125" customWidth="1"/>
    <col min="30" max="30" width="11.1328125" customWidth="1"/>
    <col min="31" max="31" width="7.3984375" customWidth="1"/>
    <col min="32" max="32" width="3.46484375" customWidth="1"/>
    <col min="33" max="33" width="12.06640625" customWidth="1"/>
    <col min="34" max="34" width="7.3984375" customWidth="1"/>
  </cols>
  <sheetData>
    <row r="1" spans="1:34" ht="18" x14ac:dyDescent="0.55000000000000004">
      <c r="A1" s="12" t="s">
        <v>21</v>
      </c>
      <c r="C1" s="1"/>
      <c r="D1" s="1"/>
      <c r="E1" s="1"/>
      <c r="F1" s="1"/>
      <c r="G1" s="1"/>
      <c r="H1" s="1"/>
      <c r="I1" s="1"/>
      <c r="J1" s="26"/>
      <c r="K1" s="1"/>
      <c r="L1" s="1"/>
      <c r="M1" s="1"/>
      <c r="N1" s="13"/>
      <c r="O1" s="13"/>
      <c r="P1" s="13"/>
      <c r="Q1" s="26"/>
      <c r="R1" s="1"/>
      <c r="S1" s="1"/>
      <c r="T1" s="49"/>
      <c r="U1" s="13"/>
      <c r="V1" s="13"/>
      <c r="W1" s="13"/>
      <c r="X1" s="88"/>
      <c r="Y1" s="91"/>
    </row>
    <row r="2" spans="1:34" ht="18" x14ac:dyDescent="0.55000000000000004">
      <c r="A2" s="12" t="s">
        <v>0</v>
      </c>
      <c r="B2" s="12"/>
      <c r="C2" s="1"/>
      <c r="D2" s="1"/>
      <c r="E2" s="1"/>
      <c r="F2" s="1"/>
      <c r="G2" s="1"/>
      <c r="H2" s="1"/>
      <c r="I2" s="1"/>
      <c r="J2" s="26"/>
      <c r="K2" s="1"/>
      <c r="L2" s="1"/>
      <c r="M2" s="1"/>
      <c r="N2" s="13"/>
      <c r="O2" s="13"/>
      <c r="P2" s="13"/>
      <c r="Q2" s="26"/>
      <c r="R2" s="1"/>
      <c r="S2" s="1"/>
      <c r="T2" s="49"/>
      <c r="U2" s="13"/>
      <c r="V2" s="13"/>
      <c r="W2" s="13"/>
      <c r="X2" s="88"/>
      <c r="Y2" s="91"/>
    </row>
    <row r="3" spans="1:34" ht="30.75" customHeight="1" x14ac:dyDescent="0.45">
      <c r="A3" s="124" t="s">
        <v>22</v>
      </c>
      <c r="B3" s="124"/>
      <c r="C3" s="3"/>
      <c r="D3" s="3"/>
      <c r="E3" s="3"/>
      <c r="F3" s="3"/>
      <c r="G3" s="3"/>
      <c r="H3" s="3"/>
      <c r="I3" s="3"/>
      <c r="J3" s="27"/>
      <c r="K3" s="3"/>
      <c r="L3" s="3"/>
      <c r="M3" s="3"/>
      <c r="N3" s="122"/>
      <c r="O3" s="122"/>
      <c r="P3" s="122"/>
      <c r="Q3" s="27"/>
      <c r="R3" s="3"/>
      <c r="S3" s="3"/>
      <c r="T3" s="50"/>
      <c r="U3" s="46"/>
      <c r="V3" s="46"/>
      <c r="W3" s="46"/>
      <c r="X3" s="89"/>
      <c r="Y3" s="92"/>
      <c r="AA3" s="46"/>
      <c r="AB3" s="46"/>
      <c r="AC3" s="46"/>
      <c r="AD3" s="89"/>
      <c r="AE3" s="92"/>
      <c r="AG3" s="89"/>
      <c r="AH3" s="92"/>
    </row>
    <row r="4" spans="1:34" ht="15.75" x14ac:dyDescent="0.45">
      <c r="A4" s="10" t="s">
        <v>1</v>
      </c>
      <c r="B4" s="2"/>
      <c r="C4" s="127" t="s">
        <v>15</v>
      </c>
      <c r="D4" s="128"/>
      <c r="E4" s="128"/>
      <c r="F4" s="61"/>
      <c r="G4" s="123" t="s">
        <v>80</v>
      </c>
      <c r="H4" s="123"/>
      <c r="I4" s="123"/>
      <c r="J4" s="100" t="s">
        <v>11</v>
      </c>
      <c r="K4" s="100"/>
      <c r="L4" s="61"/>
      <c r="M4" s="61"/>
      <c r="N4" s="129" t="s">
        <v>119</v>
      </c>
      <c r="O4" s="129"/>
      <c r="P4" s="129"/>
      <c r="Q4" s="100" t="s">
        <v>42</v>
      </c>
      <c r="R4" s="100"/>
      <c r="S4" s="61"/>
      <c r="T4" s="72"/>
      <c r="U4" s="129" t="s">
        <v>112</v>
      </c>
      <c r="V4" s="129"/>
      <c r="W4" s="131"/>
      <c r="X4" s="100" t="s">
        <v>118</v>
      </c>
      <c r="Y4" s="100"/>
      <c r="AA4" s="156" t="s">
        <v>116</v>
      </c>
      <c r="AB4" s="129"/>
      <c r="AC4" s="131"/>
      <c r="AD4" s="100" t="s">
        <v>118</v>
      </c>
      <c r="AE4" s="100"/>
      <c r="AG4" s="100" t="s">
        <v>120</v>
      </c>
      <c r="AH4" s="100"/>
    </row>
    <row r="5" spans="1:34" hidden="1" x14ac:dyDescent="0.45">
      <c r="A5" s="4"/>
      <c r="B5" s="8" t="s">
        <v>26</v>
      </c>
      <c r="C5" s="64">
        <v>827609</v>
      </c>
      <c r="D5" s="64">
        <v>909759</v>
      </c>
      <c r="E5" s="65">
        <f>SUM(C5:D5)</f>
        <v>1737368</v>
      </c>
      <c r="F5" s="9"/>
      <c r="G5" s="64">
        <f>C5</f>
        <v>827609</v>
      </c>
      <c r="H5" s="64">
        <f>D5</f>
        <v>909759</v>
      </c>
      <c r="I5" s="65">
        <f>SUM(G5:H5)</f>
        <v>1737368</v>
      </c>
      <c r="J5" s="66"/>
      <c r="K5" s="9"/>
      <c r="L5" s="9"/>
      <c r="M5" s="9"/>
      <c r="N5" s="64">
        <v>827609</v>
      </c>
      <c r="O5" s="64">
        <v>909759</v>
      </c>
      <c r="P5" s="65">
        <v>1737368</v>
      </c>
      <c r="Q5" s="66"/>
      <c r="R5" s="9"/>
      <c r="S5" s="9"/>
      <c r="T5" s="67"/>
      <c r="U5" s="65">
        <v>827609</v>
      </c>
      <c r="V5" s="65">
        <v>909759</v>
      </c>
      <c r="W5" s="65">
        <v>1737368</v>
      </c>
      <c r="X5" s="66"/>
      <c r="Y5" s="9"/>
      <c r="Z5" s="9"/>
      <c r="AA5" s="65">
        <v>827609</v>
      </c>
      <c r="AB5" s="65">
        <v>909759</v>
      </c>
      <c r="AC5" s="65">
        <v>1737368</v>
      </c>
      <c r="AD5" s="66"/>
      <c r="AE5" s="9"/>
      <c r="AG5" s="66"/>
      <c r="AH5" s="9"/>
    </row>
    <row r="6" spans="1:34" x14ac:dyDescent="0.45">
      <c r="A6" s="6" t="s">
        <v>2</v>
      </c>
      <c r="B6" s="7"/>
      <c r="C6" s="73" t="s">
        <v>23</v>
      </c>
      <c r="D6" s="73" t="s">
        <v>24</v>
      </c>
      <c r="E6" s="79" t="s">
        <v>18</v>
      </c>
      <c r="F6" s="79"/>
      <c r="G6" s="73" t="s">
        <v>23</v>
      </c>
      <c r="H6" s="73" t="s">
        <v>24</v>
      </c>
      <c r="I6" s="79" t="s">
        <v>18</v>
      </c>
      <c r="J6" s="80" t="s">
        <v>9</v>
      </c>
      <c r="K6" s="80" t="s">
        <v>7</v>
      </c>
      <c r="L6" s="101" t="s">
        <v>38</v>
      </c>
      <c r="M6" s="101"/>
      <c r="N6" s="79" t="s">
        <v>23</v>
      </c>
      <c r="O6" s="79" t="s">
        <v>24</v>
      </c>
      <c r="P6" s="79" t="s">
        <v>18</v>
      </c>
      <c r="Q6" s="80" t="s">
        <v>9</v>
      </c>
      <c r="R6" s="80" t="s">
        <v>7</v>
      </c>
      <c r="S6" s="101" t="s">
        <v>38</v>
      </c>
      <c r="T6" s="79"/>
      <c r="U6" s="79" t="s">
        <v>23</v>
      </c>
      <c r="V6" s="79" t="s">
        <v>24</v>
      </c>
      <c r="W6" s="79" t="s">
        <v>18</v>
      </c>
      <c r="X6" s="80" t="s">
        <v>9</v>
      </c>
      <c r="Y6" s="80" t="s">
        <v>7</v>
      </c>
      <c r="Z6" s="101"/>
      <c r="AA6" s="79" t="s">
        <v>23</v>
      </c>
      <c r="AB6" s="79" t="s">
        <v>24</v>
      </c>
      <c r="AC6" s="79" t="s">
        <v>18</v>
      </c>
      <c r="AD6" s="80" t="s">
        <v>9</v>
      </c>
      <c r="AE6" s="80" t="s">
        <v>7</v>
      </c>
      <c r="AG6" s="80" t="s">
        <v>9</v>
      </c>
      <c r="AH6" s="80" t="s">
        <v>7</v>
      </c>
    </row>
    <row r="7" spans="1:34" x14ac:dyDescent="0.45">
      <c r="A7" s="17" t="s">
        <v>3</v>
      </c>
      <c r="B7" s="17"/>
      <c r="C7" s="19">
        <v>906052</v>
      </c>
      <c r="D7" s="19">
        <v>906130</v>
      </c>
      <c r="E7" s="106">
        <f>SUM(C7:D7)</f>
        <v>1812182</v>
      </c>
      <c r="F7" s="68"/>
      <c r="G7" s="19">
        <f>C7</f>
        <v>906052</v>
      </c>
      <c r="H7" s="19">
        <f>D7</f>
        <v>906130</v>
      </c>
      <c r="I7" s="106">
        <f>SUM(G7:H7)</f>
        <v>1812182</v>
      </c>
      <c r="J7" s="59">
        <f>I7-E7</f>
        <v>0</v>
      </c>
      <c r="K7" s="69">
        <v>0</v>
      </c>
      <c r="L7" s="68"/>
      <c r="M7" s="68"/>
      <c r="N7" s="19">
        <v>906052</v>
      </c>
      <c r="O7" s="19">
        <v>906130</v>
      </c>
      <c r="P7" s="106">
        <v>1812182</v>
      </c>
      <c r="Q7" s="59">
        <f>P7-E7</f>
        <v>0</v>
      </c>
      <c r="R7" s="60">
        <f>IFERROR((P7-E7)/E7,0)</f>
        <v>0</v>
      </c>
      <c r="S7" s="68"/>
      <c r="T7" s="47"/>
      <c r="U7" s="19">
        <v>906052</v>
      </c>
      <c r="V7" s="19">
        <v>906130</v>
      </c>
      <c r="W7" s="106">
        <v>1812182</v>
      </c>
      <c r="X7" s="105">
        <f>W7-P7</f>
        <v>0</v>
      </c>
      <c r="Y7" s="70">
        <f>IFERROR((W7-P7)/P7,0)</f>
        <v>0</v>
      </c>
      <c r="AA7" s="19">
        <v>906052</v>
      </c>
      <c r="AB7" s="19">
        <v>906130</v>
      </c>
      <c r="AC7" s="106">
        <v>1812182</v>
      </c>
      <c r="AD7" s="105">
        <f>AC7-P7</f>
        <v>0</v>
      </c>
      <c r="AE7" s="70"/>
      <c r="AG7" s="105">
        <f>AC7-W7</f>
        <v>0</v>
      </c>
      <c r="AH7" s="70"/>
    </row>
    <row r="8" spans="1:34" x14ac:dyDescent="0.45">
      <c r="A8" s="17"/>
      <c r="B8" s="15" t="s">
        <v>25</v>
      </c>
      <c r="C8" s="18">
        <v>8070</v>
      </c>
      <c r="D8" s="18">
        <v>19200</v>
      </c>
      <c r="E8" s="106">
        <f>SUM(C8:D8)</f>
        <v>27270</v>
      </c>
      <c r="F8" s="68"/>
      <c r="G8" s="18">
        <v>7041</v>
      </c>
      <c r="H8" s="18">
        <v>17613</v>
      </c>
      <c r="I8" s="106">
        <f>G8+H8</f>
        <v>24654</v>
      </c>
      <c r="J8" s="59">
        <f t="shared" ref="J8:J44" si="0">I8-E8</f>
        <v>-2616</v>
      </c>
      <c r="K8" s="69"/>
      <c r="L8" s="68"/>
      <c r="M8" s="68"/>
      <c r="N8" s="18">
        <v>6300</v>
      </c>
      <c r="O8" s="18">
        <v>14591</v>
      </c>
      <c r="P8" s="106">
        <f>N8+O8</f>
        <v>20891</v>
      </c>
      <c r="Q8" s="59">
        <f>P8-E8</f>
        <v>-6379</v>
      </c>
      <c r="R8" s="60">
        <f t="shared" ref="R8:R44" si="1">IFERROR((P8-E8)/E8,0)</f>
        <v>-0.23392005867253393</v>
      </c>
      <c r="S8" s="68"/>
      <c r="T8" s="47"/>
      <c r="U8" s="18">
        <v>6300</v>
      </c>
      <c r="V8" s="18">
        <v>14591</v>
      </c>
      <c r="W8" s="106">
        <f>U8+V8</f>
        <v>20891</v>
      </c>
      <c r="X8" s="105">
        <f>W8-P8</f>
        <v>0</v>
      </c>
      <c r="Y8" s="70">
        <f>IFERROR((W8-P8)/P8,0)</f>
        <v>0</v>
      </c>
      <c r="AA8" s="18">
        <v>6300</v>
      </c>
      <c r="AB8" s="18">
        <v>14591</v>
      </c>
      <c r="AC8" s="106">
        <f>AA8+AB8</f>
        <v>20891</v>
      </c>
      <c r="AD8" s="105">
        <f t="shared" ref="AD8:AD44" si="2">AC8-P8</f>
        <v>0</v>
      </c>
      <c r="AE8" s="70"/>
      <c r="AG8" s="105">
        <f t="shared" ref="AG8:AG44" si="3">AC8-W8</f>
        <v>0</v>
      </c>
      <c r="AH8" s="70"/>
    </row>
    <row r="9" spans="1:34" x14ac:dyDescent="0.45">
      <c r="A9" s="15"/>
      <c r="B9" s="16" t="s">
        <v>5</v>
      </c>
      <c r="C9" s="21">
        <v>407</v>
      </c>
      <c r="D9" s="21">
        <v>2058</v>
      </c>
      <c r="E9" s="108">
        <f t="shared" ref="E9:E10" si="4">SUM(C9:D9)</f>
        <v>2465</v>
      </c>
      <c r="F9" s="68"/>
      <c r="G9" s="22">
        <v>407</v>
      </c>
      <c r="H9" s="18">
        <v>2058</v>
      </c>
      <c r="I9" s="106">
        <f>G9+H9</f>
        <v>2465</v>
      </c>
      <c r="J9" s="59">
        <f t="shared" si="0"/>
        <v>0</v>
      </c>
      <c r="K9" s="60">
        <f t="shared" ref="K9:K30" si="5">(I9-E9)/E9</f>
        <v>0</v>
      </c>
      <c r="L9" s="68"/>
      <c r="M9" s="68"/>
      <c r="N9" s="22">
        <v>370</v>
      </c>
      <c r="O9" s="18">
        <v>517</v>
      </c>
      <c r="P9" s="106">
        <f t="shared" ref="P9:P44" si="6">N9+O9</f>
        <v>887</v>
      </c>
      <c r="Q9" s="59">
        <f t="shared" ref="Q9:Q44" si="7">P9-E9</f>
        <v>-1578</v>
      </c>
      <c r="R9" s="60">
        <f t="shared" si="1"/>
        <v>-0.64016227180527385</v>
      </c>
      <c r="S9" s="68"/>
      <c r="T9" s="20"/>
      <c r="U9" s="20">
        <v>370</v>
      </c>
      <c r="V9" s="20">
        <v>517</v>
      </c>
      <c r="W9" s="106">
        <f t="shared" ref="W9:W15" si="8">U9+V9</f>
        <v>887</v>
      </c>
      <c r="X9" s="105">
        <f>W9-P9</f>
        <v>0</v>
      </c>
      <c r="Y9" s="70">
        <f>IFERROR((W9-P9)/P9,0)</f>
        <v>0</v>
      </c>
      <c r="AA9" s="20">
        <v>370</v>
      </c>
      <c r="AB9" s="20">
        <v>517</v>
      </c>
      <c r="AC9" s="106">
        <f t="shared" ref="AC9:AC15" si="9">AA9+AB9</f>
        <v>887</v>
      </c>
      <c r="AD9" s="105">
        <f t="shared" si="2"/>
        <v>0</v>
      </c>
      <c r="AE9" s="70"/>
      <c r="AG9" s="105">
        <f t="shared" si="3"/>
        <v>0</v>
      </c>
      <c r="AH9" s="70"/>
    </row>
    <row r="10" spans="1:34" hidden="1" x14ac:dyDescent="0.45">
      <c r="A10" s="15"/>
      <c r="B10" s="15" t="s">
        <v>6</v>
      </c>
      <c r="C10" s="21">
        <v>412</v>
      </c>
      <c r="D10" s="21">
        <v>332</v>
      </c>
      <c r="E10" s="108">
        <f t="shared" si="4"/>
        <v>744</v>
      </c>
      <c r="F10" s="68"/>
      <c r="G10" s="22">
        <v>464</v>
      </c>
      <c r="H10" s="18">
        <v>816</v>
      </c>
      <c r="I10" s="106">
        <v>1280</v>
      </c>
      <c r="J10" s="59">
        <f t="shared" si="0"/>
        <v>536</v>
      </c>
      <c r="K10" s="60">
        <f t="shared" si="5"/>
        <v>0.72043010752688175</v>
      </c>
      <c r="L10" s="68"/>
      <c r="M10" s="68"/>
      <c r="N10" s="22">
        <v>566</v>
      </c>
      <c r="O10" s="18">
        <v>960</v>
      </c>
      <c r="P10" s="106">
        <f t="shared" si="6"/>
        <v>1526</v>
      </c>
      <c r="Q10" s="59">
        <f t="shared" si="7"/>
        <v>782</v>
      </c>
      <c r="R10" s="60">
        <f t="shared" si="1"/>
        <v>1.0510752688172043</v>
      </c>
      <c r="S10" s="68"/>
      <c r="T10" s="20"/>
      <c r="U10" s="20">
        <v>566</v>
      </c>
      <c r="V10" s="20">
        <v>960</v>
      </c>
      <c r="W10" s="106">
        <f t="shared" si="8"/>
        <v>1526</v>
      </c>
      <c r="X10" s="105">
        <f>W10-P10</f>
        <v>0</v>
      </c>
      <c r="Y10" s="70">
        <f>IFERROR((W10-P10)/P10,0)</f>
        <v>0</v>
      </c>
      <c r="AA10" s="20">
        <v>566</v>
      </c>
      <c r="AB10" s="20">
        <v>960</v>
      </c>
      <c r="AC10" s="106">
        <f t="shared" si="9"/>
        <v>1526</v>
      </c>
      <c r="AD10" s="105">
        <f t="shared" si="2"/>
        <v>0</v>
      </c>
      <c r="AE10" s="70"/>
      <c r="AG10" s="105">
        <f t="shared" si="3"/>
        <v>0</v>
      </c>
      <c r="AH10" s="70"/>
    </row>
    <row r="11" spans="1:34" hidden="1" x14ac:dyDescent="0.45">
      <c r="A11" s="15"/>
      <c r="B11" s="15" t="s">
        <v>43</v>
      </c>
      <c r="C11" s="21"/>
      <c r="D11" s="21"/>
      <c r="E11" s="108"/>
      <c r="F11" s="68"/>
      <c r="G11" s="22"/>
      <c r="H11" s="18"/>
      <c r="I11" s="106"/>
      <c r="J11" s="59"/>
      <c r="K11" s="60"/>
      <c r="L11" s="68"/>
      <c r="M11" s="68"/>
      <c r="N11" s="22">
        <v>-4938</v>
      </c>
      <c r="O11" s="18">
        <v>-5048</v>
      </c>
      <c r="P11" s="106">
        <f t="shared" si="6"/>
        <v>-9986</v>
      </c>
      <c r="Q11" s="59">
        <f t="shared" si="7"/>
        <v>-9986</v>
      </c>
      <c r="R11" s="60">
        <f t="shared" si="1"/>
        <v>0</v>
      </c>
      <c r="S11" s="68"/>
      <c r="T11" s="20"/>
      <c r="U11" s="20">
        <v>-4958</v>
      </c>
      <c r="V11" s="20">
        <v>-5048</v>
      </c>
      <c r="W11" s="106">
        <f t="shared" si="8"/>
        <v>-10006</v>
      </c>
      <c r="X11" s="105">
        <f>W11-P11</f>
        <v>-20</v>
      </c>
      <c r="Y11" s="70">
        <f>IFERROR((W11-P11)/P11,0)</f>
        <v>2.002803925495694E-3</v>
      </c>
      <c r="AA11" s="20">
        <v>-4958</v>
      </c>
      <c r="AB11" s="20">
        <v>-5048</v>
      </c>
      <c r="AC11" s="106">
        <f t="shared" si="9"/>
        <v>-10006</v>
      </c>
      <c r="AD11" s="105">
        <f t="shared" si="2"/>
        <v>-20</v>
      </c>
      <c r="AE11" s="70"/>
      <c r="AG11" s="105">
        <f t="shared" si="3"/>
        <v>0</v>
      </c>
      <c r="AH11" s="70"/>
    </row>
    <row r="12" spans="1:34" hidden="1" x14ac:dyDescent="0.45">
      <c r="A12" s="15"/>
      <c r="B12" s="15" t="s">
        <v>8</v>
      </c>
      <c r="C12" s="21"/>
      <c r="D12" s="21"/>
      <c r="E12" s="108"/>
      <c r="F12" s="68"/>
      <c r="G12" s="22"/>
      <c r="H12" s="18"/>
      <c r="I12" s="106"/>
      <c r="J12" s="59"/>
      <c r="K12" s="60"/>
      <c r="L12" s="68"/>
      <c r="M12" s="68"/>
      <c r="N12" s="22">
        <v>1990</v>
      </c>
      <c r="O12" s="18">
        <v>1990</v>
      </c>
      <c r="P12" s="106">
        <f t="shared" si="6"/>
        <v>3980</v>
      </c>
      <c r="Q12" s="59">
        <f t="shared" si="7"/>
        <v>3980</v>
      </c>
      <c r="R12" s="60">
        <f t="shared" si="1"/>
        <v>0</v>
      </c>
      <c r="S12" s="68"/>
      <c r="T12" s="20"/>
      <c r="U12" s="20">
        <v>1990</v>
      </c>
      <c r="V12" s="20">
        <v>1990</v>
      </c>
      <c r="W12" s="106">
        <f t="shared" si="8"/>
        <v>3980</v>
      </c>
      <c r="X12" s="105">
        <f>W12-P12</f>
        <v>0</v>
      </c>
      <c r="Y12" s="70">
        <f>IFERROR((W12-P12)/P12,0)</f>
        <v>0</v>
      </c>
      <c r="AA12" s="20">
        <v>1990</v>
      </c>
      <c r="AB12" s="20">
        <v>1990</v>
      </c>
      <c r="AC12" s="106">
        <f t="shared" si="9"/>
        <v>3980</v>
      </c>
      <c r="AD12" s="105">
        <f t="shared" si="2"/>
        <v>0</v>
      </c>
      <c r="AE12" s="70"/>
      <c r="AG12" s="105">
        <f t="shared" si="3"/>
        <v>0</v>
      </c>
      <c r="AH12" s="70"/>
    </row>
    <row r="13" spans="1:34" hidden="1" x14ac:dyDescent="0.45">
      <c r="A13" s="16"/>
      <c r="B13" s="38" t="s">
        <v>60</v>
      </c>
      <c r="C13" s="33"/>
      <c r="D13" s="33"/>
      <c r="E13" s="106"/>
      <c r="F13" s="68"/>
      <c r="G13" s="21"/>
      <c r="H13" s="21"/>
      <c r="I13" s="106"/>
      <c r="J13" s="59"/>
      <c r="K13" s="60"/>
      <c r="L13" s="68"/>
      <c r="M13" s="68"/>
      <c r="N13" s="22"/>
      <c r="O13" s="22"/>
      <c r="P13" s="106">
        <f t="shared" si="6"/>
        <v>0</v>
      </c>
      <c r="Q13" s="59">
        <f t="shared" si="7"/>
        <v>0</v>
      </c>
      <c r="R13" s="60">
        <f t="shared" si="1"/>
        <v>0</v>
      </c>
      <c r="S13" s="68"/>
      <c r="T13" s="47"/>
      <c r="U13" s="20">
        <v>-3464</v>
      </c>
      <c r="V13" s="20">
        <v>-3492</v>
      </c>
      <c r="W13" s="106">
        <f t="shared" si="8"/>
        <v>-6956</v>
      </c>
      <c r="X13" s="105">
        <f>W13-P13</f>
        <v>-6956</v>
      </c>
      <c r="Y13" s="70">
        <f>IFERROR((W13-P13)/P13,0)</f>
        <v>0</v>
      </c>
      <c r="AA13" s="20">
        <v>-3464</v>
      </c>
      <c r="AB13" s="20">
        <v>-3492</v>
      </c>
      <c r="AC13" s="106">
        <f t="shared" si="9"/>
        <v>-6956</v>
      </c>
      <c r="AD13" s="105">
        <f t="shared" si="2"/>
        <v>-6956</v>
      </c>
      <c r="AE13" s="70"/>
      <c r="AG13" s="105">
        <f t="shared" si="3"/>
        <v>0</v>
      </c>
      <c r="AH13" s="70"/>
    </row>
    <row r="14" spans="1:34" x14ac:dyDescent="0.45">
      <c r="A14" s="17" t="s">
        <v>4</v>
      </c>
      <c r="B14" s="15"/>
      <c r="C14" s="14">
        <f>SUM(C8:C13)</f>
        <v>8889</v>
      </c>
      <c r="D14" s="14">
        <f>SUM(D8:D13)</f>
        <v>21590</v>
      </c>
      <c r="E14" s="106">
        <f>SUM(C14:D14)</f>
        <v>30479</v>
      </c>
      <c r="F14" s="68"/>
      <c r="G14" s="14">
        <f>SUM(G8:G13)</f>
        <v>7912</v>
      </c>
      <c r="H14" s="14">
        <f>SUM(H8:H13)</f>
        <v>20487</v>
      </c>
      <c r="I14" s="106">
        <f>SUM(I8:I13)</f>
        <v>28399</v>
      </c>
      <c r="J14" s="59">
        <f t="shared" si="0"/>
        <v>-2080</v>
      </c>
      <c r="K14" s="60">
        <f t="shared" si="5"/>
        <v>-6.824370878309656E-2</v>
      </c>
      <c r="L14" s="68"/>
      <c r="M14" s="68"/>
      <c r="N14" s="14">
        <f>SUM(N8:N13)</f>
        <v>4288</v>
      </c>
      <c r="O14" s="14">
        <f>SUM(O8:O13)</f>
        <v>13010</v>
      </c>
      <c r="P14" s="106">
        <f t="shared" si="6"/>
        <v>17298</v>
      </c>
      <c r="Q14" s="59">
        <f t="shared" si="7"/>
        <v>-13181</v>
      </c>
      <c r="R14" s="60">
        <f t="shared" si="1"/>
        <v>-0.43246169493749798</v>
      </c>
      <c r="S14" s="68"/>
      <c r="T14" s="47"/>
      <c r="U14" s="14">
        <f>SUM(U8:U13)</f>
        <v>804</v>
      </c>
      <c r="V14" s="14">
        <f>SUM(V8:V13)</f>
        <v>9518</v>
      </c>
      <c r="W14" s="106">
        <f t="shared" si="8"/>
        <v>10322</v>
      </c>
      <c r="X14" s="105">
        <f>W14-P14</f>
        <v>-6976</v>
      </c>
      <c r="Y14" s="70">
        <f>IFERROR((W14-P14)/P14,0)</f>
        <v>-0.40328361660307549</v>
      </c>
      <c r="AA14" s="14">
        <f>SUM(AA8:AA13)</f>
        <v>804</v>
      </c>
      <c r="AB14" s="14">
        <f>SUM(AB8:AB13)</f>
        <v>9518</v>
      </c>
      <c r="AC14" s="106">
        <f t="shared" si="9"/>
        <v>10322</v>
      </c>
      <c r="AD14" s="105">
        <f t="shared" si="2"/>
        <v>-6976</v>
      </c>
      <c r="AE14" s="70"/>
      <c r="AG14" s="105">
        <f t="shared" si="3"/>
        <v>0</v>
      </c>
      <c r="AH14" s="70"/>
    </row>
    <row r="15" spans="1:34" x14ac:dyDescent="0.45">
      <c r="A15" s="17" t="s">
        <v>14</v>
      </c>
      <c r="B15" s="17"/>
      <c r="C15" s="34">
        <f>C7+C14</f>
        <v>914941</v>
      </c>
      <c r="D15" s="34">
        <f>D7+D14</f>
        <v>927720</v>
      </c>
      <c r="E15" s="106">
        <f t="shared" ref="E15" si="10">SUM(C15:D15)</f>
        <v>1842661</v>
      </c>
      <c r="F15" s="74"/>
      <c r="G15" s="76">
        <f>G7+G14</f>
        <v>913964</v>
      </c>
      <c r="H15" s="76">
        <f>H7+H14</f>
        <v>926617</v>
      </c>
      <c r="I15" s="106">
        <f>I7+I14</f>
        <v>1840581</v>
      </c>
      <c r="J15" s="59">
        <f t="shared" si="0"/>
        <v>-2080</v>
      </c>
      <c r="K15" s="75">
        <f t="shared" si="5"/>
        <v>-1.1288023136105882E-3</v>
      </c>
      <c r="L15" s="74"/>
      <c r="M15" s="74"/>
      <c r="N15" s="76">
        <f>N14+N7</f>
        <v>910340</v>
      </c>
      <c r="O15" s="76">
        <f>O14+O7</f>
        <v>919140</v>
      </c>
      <c r="P15" s="106">
        <f>N15+O15</f>
        <v>1829480</v>
      </c>
      <c r="Q15" s="59">
        <f t="shared" si="7"/>
        <v>-13181</v>
      </c>
      <c r="R15" s="60">
        <f t="shared" si="1"/>
        <v>-7.1532419690870973E-3</v>
      </c>
      <c r="S15" s="74"/>
      <c r="T15" s="47"/>
      <c r="U15" s="76">
        <f>U7+U14</f>
        <v>906856</v>
      </c>
      <c r="V15" s="76">
        <f>V7+V14</f>
        <v>915648</v>
      </c>
      <c r="W15" s="106">
        <f t="shared" si="8"/>
        <v>1822504</v>
      </c>
      <c r="X15" s="105">
        <f>W15-P15</f>
        <v>-6976</v>
      </c>
      <c r="Y15" s="70">
        <f>IFERROR((W15-P15)/P15,0)</f>
        <v>-3.813105363272624E-3</v>
      </c>
      <c r="AA15" s="76">
        <f>AA7+AA14</f>
        <v>906856</v>
      </c>
      <c r="AB15" s="76">
        <f>AB7+AB14</f>
        <v>915648</v>
      </c>
      <c r="AC15" s="106">
        <f t="shared" si="9"/>
        <v>1822504</v>
      </c>
      <c r="AD15" s="105">
        <f t="shared" si="2"/>
        <v>-6976</v>
      </c>
      <c r="AE15" s="70"/>
      <c r="AG15" s="105">
        <f t="shared" si="3"/>
        <v>0</v>
      </c>
      <c r="AH15" s="70"/>
    </row>
    <row r="16" spans="1:34" x14ac:dyDescent="0.45">
      <c r="A16" s="15"/>
      <c r="B16" s="58" t="s">
        <v>10</v>
      </c>
      <c r="C16" s="34"/>
      <c r="D16" s="34"/>
      <c r="E16" s="47"/>
      <c r="F16" s="74"/>
      <c r="G16" s="76"/>
      <c r="H16" s="76"/>
      <c r="I16" s="76"/>
      <c r="J16" s="59"/>
      <c r="K16" s="75"/>
      <c r="L16" s="74"/>
      <c r="M16" s="74"/>
      <c r="N16" s="22"/>
      <c r="O16" s="22"/>
      <c r="P16" s="22">
        <f t="shared" si="6"/>
        <v>0</v>
      </c>
      <c r="Q16" s="59">
        <f t="shared" si="7"/>
        <v>0</v>
      </c>
      <c r="R16" s="60">
        <f t="shared" si="1"/>
        <v>0</v>
      </c>
      <c r="S16" s="74"/>
      <c r="T16" s="22"/>
      <c r="U16" s="22"/>
      <c r="V16" s="22"/>
      <c r="W16" s="22"/>
      <c r="X16" s="105">
        <f>W16-P16</f>
        <v>0</v>
      </c>
      <c r="Y16" s="70">
        <f>IFERROR((W16-P16)/P16,0)</f>
        <v>0</v>
      </c>
      <c r="AA16" s="22"/>
      <c r="AB16" s="22"/>
      <c r="AC16" s="22"/>
      <c r="AD16" s="105">
        <f t="shared" si="2"/>
        <v>0</v>
      </c>
      <c r="AE16" s="70"/>
      <c r="AG16" s="105">
        <f t="shared" si="3"/>
        <v>0</v>
      </c>
      <c r="AH16" s="70"/>
    </row>
    <row r="17" spans="1:37" hidden="1" x14ac:dyDescent="0.45">
      <c r="A17" s="16"/>
      <c r="B17" s="95" t="s">
        <v>27</v>
      </c>
      <c r="C17" s="34"/>
      <c r="D17" s="34"/>
      <c r="E17" s="43"/>
      <c r="F17" s="68"/>
      <c r="G17" s="14">
        <v>-7041</v>
      </c>
      <c r="H17" s="14">
        <v>-17613</v>
      </c>
      <c r="I17" s="43">
        <f>G17+H17</f>
        <v>-24654</v>
      </c>
      <c r="J17" s="59">
        <f t="shared" si="0"/>
        <v>-24654</v>
      </c>
      <c r="K17" s="60">
        <f>(I17-E17)/I17</f>
        <v>1</v>
      </c>
      <c r="L17" s="68"/>
      <c r="M17" s="68"/>
      <c r="N17" s="22"/>
      <c r="O17" s="44"/>
      <c r="P17" s="43">
        <f t="shared" si="6"/>
        <v>0</v>
      </c>
      <c r="Q17" s="59">
        <f t="shared" si="7"/>
        <v>0</v>
      </c>
      <c r="R17" s="60">
        <f t="shared" si="1"/>
        <v>0</v>
      </c>
      <c r="S17" s="68"/>
      <c r="T17" s="47"/>
      <c r="U17" s="20"/>
      <c r="V17" s="20"/>
      <c r="W17" s="43">
        <f>U17+V17</f>
        <v>0</v>
      </c>
      <c r="X17" s="105">
        <f>W17-P17</f>
        <v>0</v>
      </c>
      <c r="Y17" s="70">
        <f>IFERROR((W17-P17)/P17,0)</f>
        <v>0</v>
      </c>
      <c r="AA17" s="20"/>
      <c r="AB17" s="20"/>
      <c r="AC17" s="43">
        <f>AA17+AB17</f>
        <v>0</v>
      </c>
      <c r="AD17" s="105">
        <f t="shared" si="2"/>
        <v>0</v>
      </c>
      <c r="AE17" s="70"/>
      <c r="AF17" s="96"/>
      <c r="AG17" s="105">
        <f t="shared" si="3"/>
        <v>0</v>
      </c>
      <c r="AH17" s="70"/>
    </row>
    <row r="18" spans="1:37" hidden="1" x14ac:dyDescent="0.45">
      <c r="A18" s="16"/>
      <c r="B18" s="95" t="s">
        <v>28</v>
      </c>
      <c r="C18" s="34"/>
      <c r="D18" s="34"/>
      <c r="E18" s="43"/>
      <c r="F18" s="68"/>
      <c r="G18" s="14">
        <v>-5012</v>
      </c>
      <c r="H18" s="14">
        <v>-5012</v>
      </c>
      <c r="I18" s="43">
        <f t="shared" ref="I18:I22" si="11">G18+H18</f>
        <v>-10024</v>
      </c>
      <c r="J18" s="59">
        <f t="shared" si="0"/>
        <v>-10024</v>
      </c>
      <c r="K18" s="60"/>
      <c r="L18" s="98" t="s">
        <v>39</v>
      </c>
      <c r="M18" s="98"/>
      <c r="N18" s="22"/>
      <c r="O18" s="44"/>
      <c r="P18" s="43">
        <f t="shared" si="6"/>
        <v>0</v>
      </c>
      <c r="Q18" s="59">
        <f t="shared" si="7"/>
        <v>0</v>
      </c>
      <c r="R18" s="60">
        <f t="shared" si="1"/>
        <v>0</v>
      </c>
      <c r="S18" s="98"/>
      <c r="T18" s="47"/>
      <c r="U18" s="20"/>
      <c r="V18" s="20"/>
      <c r="W18" s="43">
        <f t="shared" ref="W18:W23" si="12">U18+V18</f>
        <v>0</v>
      </c>
      <c r="X18" s="105">
        <f>W18-P18</f>
        <v>0</v>
      </c>
      <c r="Y18" s="70">
        <f>IFERROR((W18-P18)/P18,0)</f>
        <v>0</v>
      </c>
      <c r="AA18" s="20"/>
      <c r="AB18" s="20"/>
      <c r="AC18" s="43">
        <f t="shared" ref="AC18:AC24" si="13">AA18+AB18</f>
        <v>0</v>
      </c>
      <c r="AD18" s="105">
        <f t="shared" si="2"/>
        <v>0</v>
      </c>
      <c r="AE18" s="70"/>
      <c r="AF18" s="96"/>
      <c r="AG18" s="105">
        <f t="shared" si="3"/>
        <v>0</v>
      </c>
      <c r="AH18" s="70"/>
    </row>
    <row r="19" spans="1:37" hidden="1" x14ac:dyDescent="0.45">
      <c r="A19" s="16"/>
      <c r="B19" s="95" t="s">
        <v>30</v>
      </c>
      <c r="C19" s="34"/>
      <c r="D19" s="34"/>
      <c r="E19" s="43"/>
      <c r="F19" s="68"/>
      <c r="G19" s="14">
        <v>-34089</v>
      </c>
      <c r="H19" s="14">
        <v>-34173</v>
      </c>
      <c r="I19" s="43">
        <f t="shared" si="11"/>
        <v>-68262</v>
      </c>
      <c r="J19" s="59">
        <f t="shared" si="0"/>
        <v>-68262</v>
      </c>
      <c r="K19" s="60"/>
      <c r="L19" s="68"/>
      <c r="M19" s="68"/>
      <c r="N19" s="22"/>
      <c r="O19" s="44"/>
      <c r="P19" s="43">
        <f t="shared" si="6"/>
        <v>0</v>
      </c>
      <c r="Q19" s="59">
        <f t="shared" si="7"/>
        <v>0</v>
      </c>
      <c r="R19" s="60">
        <f t="shared" si="1"/>
        <v>0</v>
      </c>
      <c r="S19" s="68"/>
      <c r="T19" s="47"/>
      <c r="U19" s="20"/>
      <c r="V19" s="20"/>
      <c r="W19" s="43">
        <f t="shared" si="12"/>
        <v>0</v>
      </c>
      <c r="X19" s="105">
        <f>W19-P19</f>
        <v>0</v>
      </c>
      <c r="Y19" s="70">
        <f>IFERROR((W19-P19)/P19,0)</f>
        <v>0</v>
      </c>
      <c r="AA19" s="20"/>
      <c r="AB19" s="20"/>
      <c r="AC19" s="43">
        <f t="shared" si="13"/>
        <v>0</v>
      </c>
      <c r="AD19" s="105">
        <f t="shared" si="2"/>
        <v>0</v>
      </c>
      <c r="AE19" s="70"/>
      <c r="AF19" s="96"/>
      <c r="AG19" s="105">
        <f t="shared" si="3"/>
        <v>0</v>
      </c>
      <c r="AH19" s="70"/>
    </row>
    <row r="20" spans="1:37" hidden="1" x14ac:dyDescent="0.45">
      <c r="A20" s="16"/>
      <c r="B20" s="95" t="s">
        <v>29</v>
      </c>
      <c r="C20" s="34"/>
      <c r="D20" s="34"/>
      <c r="E20" s="43"/>
      <c r="F20" s="68"/>
      <c r="G20" s="14">
        <v>-3885</v>
      </c>
      <c r="H20" s="14">
        <v>0</v>
      </c>
      <c r="I20" s="43">
        <f t="shared" si="11"/>
        <v>-3885</v>
      </c>
      <c r="J20" s="59">
        <f t="shared" si="0"/>
        <v>-3885</v>
      </c>
      <c r="K20" s="60"/>
      <c r="L20" s="68"/>
      <c r="M20" s="68"/>
      <c r="N20" s="22">
        <v>-5788</v>
      </c>
      <c r="O20" s="44">
        <v>9952</v>
      </c>
      <c r="P20" s="43">
        <f t="shared" si="6"/>
        <v>4164</v>
      </c>
      <c r="Q20" s="59">
        <f t="shared" si="7"/>
        <v>4164</v>
      </c>
      <c r="R20" s="60">
        <f t="shared" si="1"/>
        <v>0</v>
      </c>
      <c r="S20" s="68"/>
      <c r="T20" s="47"/>
      <c r="U20" s="20"/>
      <c r="V20" s="20"/>
      <c r="W20" s="43">
        <f t="shared" si="12"/>
        <v>0</v>
      </c>
      <c r="X20" s="105">
        <f>W20-P20</f>
        <v>-4164</v>
      </c>
      <c r="Y20" s="70">
        <f>IFERROR((W20-P20)/P20,0)</f>
        <v>-1</v>
      </c>
      <c r="AA20" s="20">
        <v>-5788</v>
      </c>
      <c r="AB20" s="20">
        <v>9952</v>
      </c>
      <c r="AC20" s="43">
        <f t="shared" si="13"/>
        <v>4164</v>
      </c>
      <c r="AD20" s="105">
        <f t="shared" si="2"/>
        <v>0</v>
      </c>
      <c r="AE20" s="70"/>
      <c r="AF20" s="96"/>
      <c r="AG20" s="105">
        <f t="shared" si="3"/>
        <v>4164</v>
      </c>
      <c r="AH20" s="70"/>
    </row>
    <row r="21" spans="1:37" hidden="1" x14ac:dyDescent="0.45">
      <c r="A21" s="16"/>
      <c r="B21" s="95" t="s">
        <v>81</v>
      </c>
      <c r="C21" s="34"/>
      <c r="D21" s="34"/>
      <c r="E21" s="43"/>
      <c r="F21" s="68"/>
      <c r="G21" s="14"/>
      <c r="H21" s="14"/>
      <c r="I21" s="43"/>
      <c r="J21" s="59"/>
      <c r="K21" s="60"/>
      <c r="L21" s="68"/>
      <c r="M21" s="68"/>
      <c r="N21" s="22">
        <v>-1593</v>
      </c>
      <c r="O21" s="44">
        <v>2740</v>
      </c>
      <c r="P21" s="43">
        <f t="shared" si="6"/>
        <v>1147</v>
      </c>
      <c r="Q21" s="59">
        <f t="shared" si="7"/>
        <v>1147</v>
      </c>
      <c r="R21" s="60">
        <f t="shared" si="1"/>
        <v>0</v>
      </c>
      <c r="S21" s="68"/>
      <c r="T21" s="47"/>
      <c r="U21" s="20"/>
      <c r="V21" s="20"/>
      <c r="W21" s="43">
        <f t="shared" si="12"/>
        <v>0</v>
      </c>
      <c r="X21" s="105">
        <f>W21-P21</f>
        <v>-1147</v>
      </c>
      <c r="Y21" s="70">
        <f>IFERROR((W21-P21)/P21,0)</f>
        <v>-1</v>
      </c>
      <c r="AA21" s="20">
        <v>-1593</v>
      </c>
      <c r="AB21" s="20">
        <v>2740</v>
      </c>
      <c r="AC21" s="43">
        <f t="shared" si="13"/>
        <v>1147</v>
      </c>
      <c r="AD21" s="105">
        <f t="shared" si="2"/>
        <v>0</v>
      </c>
      <c r="AE21" s="70"/>
      <c r="AF21" s="96"/>
      <c r="AG21" s="105">
        <f t="shared" si="3"/>
        <v>1147</v>
      </c>
      <c r="AH21" s="70"/>
    </row>
    <row r="22" spans="1:37" hidden="1" x14ac:dyDescent="0.45">
      <c r="A22" s="15"/>
      <c r="B22" s="62" t="s">
        <v>31</v>
      </c>
      <c r="C22" s="32"/>
      <c r="D22" s="32"/>
      <c r="E22" s="43"/>
      <c r="F22" s="68"/>
      <c r="G22" s="21">
        <f>-1471-202</f>
        <v>-1673</v>
      </c>
      <c r="H22" s="21">
        <f>-1937+1087</f>
        <v>-850</v>
      </c>
      <c r="I22" s="43">
        <f t="shared" si="11"/>
        <v>-2523</v>
      </c>
      <c r="J22" s="59">
        <f t="shared" si="0"/>
        <v>-2523</v>
      </c>
      <c r="K22" s="60">
        <f>(I22-E22)/I22</f>
        <v>1</v>
      </c>
      <c r="L22" s="68"/>
      <c r="M22" s="68"/>
      <c r="N22" s="22">
        <v>-3444</v>
      </c>
      <c r="O22" s="44">
        <v>-3463</v>
      </c>
      <c r="P22" s="43">
        <f t="shared" si="6"/>
        <v>-6907</v>
      </c>
      <c r="Q22" s="59">
        <f t="shared" si="7"/>
        <v>-6907</v>
      </c>
      <c r="R22" s="60">
        <f t="shared" si="1"/>
        <v>0</v>
      </c>
      <c r="S22" s="68"/>
      <c r="T22" s="47"/>
      <c r="U22" s="21">
        <v>38</v>
      </c>
      <c r="V22" s="21">
        <v>38</v>
      </c>
      <c r="W22" s="43">
        <f t="shared" si="12"/>
        <v>76</v>
      </c>
      <c r="X22" s="105">
        <f>W22-P22</f>
        <v>6983</v>
      </c>
      <c r="Y22" s="70">
        <f>IFERROR((W22-P22)/P22,0)</f>
        <v>-1.011003329955118</v>
      </c>
      <c r="AA22" s="21">
        <f>1712+38</f>
        <v>1750</v>
      </c>
      <c r="AB22" s="21">
        <f>812+38</f>
        <v>850</v>
      </c>
      <c r="AC22" s="43">
        <f t="shared" si="13"/>
        <v>2600</v>
      </c>
      <c r="AD22" s="105">
        <f>AC22-P22</f>
        <v>9507</v>
      </c>
      <c r="AE22" s="70"/>
      <c r="AG22" s="105">
        <f t="shared" si="3"/>
        <v>2524</v>
      </c>
      <c r="AH22" s="70"/>
    </row>
    <row r="23" spans="1:37" hidden="1" x14ac:dyDescent="0.45">
      <c r="A23" s="15"/>
      <c r="B23" s="62" t="s">
        <v>49</v>
      </c>
      <c r="C23" s="32"/>
      <c r="D23" s="32"/>
      <c r="E23" s="47"/>
      <c r="F23" s="74"/>
      <c r="G23" s="20"/>
      <c r="H23" s="20"/>
      <c r="I23" s="20"/>
      <c r="J23" s="59"/>
      <c r="K23" s="75"/>
      <c r="L23" s="74"/>
      <c r="M23" s="74"/>
      <c r="N23" s="21">
        <v>-416</v>
      </c>
      <c r="O23" s="21">
        <v>-416</v>
      </c>
      <c r="P23" s="47">
        <f t="shared" si="6"/>
        <v>-832</v>
      </c>
      <c r="Q23" s="59">
        <f t="shared" si="7"/>
        <v>-832</v>
      </c>
      <c r="R23" s="60">
        <f t="shared" si="1"/>
        <v>0</v>
      </c>
      <c r="S23" s="74"/>
      <c r="T23" s="47"/>
      <c r="U23" s="20">
        <v>-416</v>
      </c>
      <c r="V23" s="20">
        <v>-416</v>
      </c>
      <c r="W23" s="43">
        <f t="shared" si="12"/>
        <v>-832</v>
      </c>
      <c r="X23" s="105">
        <f>W23-P23</f>
        <v>0</v>
      </c>
      <c r="Y23" s="70">
        <f>IFERROR((W23-P23)/P23,0)</f>
        <v>0</v>
      </c>
      <c r="AA23" s="20">
        <v>-416</v>
      </c>
      <c r="AB23" s="20">
        <v>-416</v>
      </c>
      <c r="AC23" s="43">
        <f t="shared" si="13"/>
        <v>-832</v>
      </c>
      <c r="AD23" s="105">
        <f t="shared" si="2"/>
        <v>0</v>
      </c>
      <c r="AE23" s="70"/>
      <c r="AG23" s="105">
        <f t="shared" si="3"/>
        <v>0</v>
      </c>
      <c r="AH23" s="70"/>
    </row>
    <row r="24" spans="1:37" hidden="1" x14ac:dyDescent="0.45">
      <c r="A24" s="15"/>
      <c r="B24" s="62" t="s">
        <v>117</v>
      </c>
      <c r="C24" s="32"/>
      <c r="D24" s="32"/>
      <c r="E24" s="106"/>
      <c r="F24" s="74"/>
      <c r="G24" s="20"/>
      <c r="H24" s="20"/>
      <c r="I24" s="106"/>
      <c r="J24" s="59"/>
      <c r="K24" s="75"/>
      <c r="L24" s="74"/>
      <c r="M24" s="74"/>
      <c r="N24" s="20"/>
      <c r="O24" s="20"/>
      <c r="P24" s="106"/>
      <c r="Q24" s="59"/>
      <c r="R24" s="60"/>
      <c r="S24" s="74"/>
      <c r="T24" s="47"/>
      <c r="U24" s="20"/>
      <c r="V24" s="20"/>
      <c r="W24" s="106"/>
      <c r="X24" s="105"/>
      <c r="Y24" s="70"/>
      <c r="AA24" s="20">
        <v>102</v>
      </c>
      <c r="AB24" s="20">
        <v>101</v>
      </c>
      <c r="AC24" s="43">
        <f t="shared" si="13"/>
        <v>203</v>
      </c>
      <c r="AD24" s="105">
        <f t="shared" si="2"/>
        <v>203</v>
      </c>
      <c r="AE24" s="70"/>
      <c r="AG24" s="105">
        <f t="shared" si="3"/>
        <v>203</v>
      </c>
      <c r="AH24" s="70"/>
    </row>
    <row r="25" spans="1:37" x14ac:dyDescent="0.45">
      <c r="A25" s="15"/>
      <c r="B25" s="62" t="s">
        <v>85</v>
      </c>
      <c r="C25" s="32"/>
      <c r="D25" s="32"/>
      <c r="E25" s="106">
        <f>SUM(E17:E23)</f>
        <v>0</v>
      </c>
      <c r="F25" s="74"/>
      <c r="G25" s="20"/>
      <c r="H25" s="20"/>
      <c r="I25" s="106">
        <f>SUM(I17:I23)</f>
        <v>-109348</v>
      </c>
      <c r="J25" s="59"/>
      <c r="K25" s="75"/>
      <c r="L25" s="74"/>
      <c r="M25" s="74"/>
      <c r="N25" s="20"/>
      <c r="O25" s="20"/>
      <c r="P25" s="106">
        <f>SUM(P17:P23)</f>
        <v>-2428</v>
      </c>
      <c r="Q25" s="59"/>
      <c r="R25" s="60"/>
      <c r="S25" s="74"/>
      <c r="T25" s="47"/>
      <c r="U25" s="20"/>
      <c r="V25" s="20"/>
      <c r="W25" s="106">
        <f>SUM(W17:W23)</f>
        <v>-756</v>
      </c>
      <c r="X25" s="105">
        <f>W25-P25</f>
        <v>1672</v>
      </c>
      <c r="Y25" s="70">
        <f>IFERROR((W25-P25)/P25,0)</f>
        <v>-0.6886326194398682</v>
      </c>
      <c r="AA25" s="20">
        <f>SUM(AA17:AA24)</f>
        <v>-5945</v>
      </c>
      <c r="AB25" s="20">
        <f>SUM(AB17:AB24)</f>
        <v>13227</v>
      </c>
      <c r="AC25" s="106">
        <f>SUM(AC17:AC23)</f>
        <v>7079</v>
      </c>
      <c r="AD25" s="105">
        <f t="shared" si="2"/>
        <v>9507</v>
      </c>
      <c r="AE25" s="70"/>
      <c r="AG25" s="105">
        <f t="shared" si="3"/>
        <v>7835</v>
      </c>
      <c r="AH25" s="70"/>
    </row>
    <row r="26" spans="1:37" x14ac:dyDescent="0.45">
      <c r="AD26" s="105">
        <f t="shared" si="2"/>
        <v>0</v>
      </c>
      <c r="AE26" s="70"/>
      <c r="AG26" s="105">
        <f t="shared" si="3"/>
        <v>0</v>
      </c>
      <c r="AH26" s="70"/>
    </row>
    <row r="27" spans="1:37" x14ac:dyDescent="0.45">
      <c r="A27" s="15"/>
      <c r="B27" s="63" t="s">
        <v>13</v>
      </c>
      <c r="C27" s="32"/>
      <c r="D27" s="32"/>
      <c r="E27" s="47"/>
      <c r="F27" s="74"/>
      <c r="G27" s="20"/>
      <c r="H27" s="20"/>
      <c r="I27" s="20"/>
      <c r="J27" s="59"/>
      <c r="K27" s="75"/>
      <c r="L27" s="74"/>
      <c r="M27" s="74"/>
      <c r="N27" s="20"/>
      <c r="O27" s="20"/>
      <c r="P27" s="47"/>
      <c r="Q27" s="59"/>
      <c r="R27" s="60"/>
      <c r="S27" s="74"/>
      <c r="T27" s="47"/>
      <c r="U27" s="47"/>
      <c r="V27" s="47"/>
      <c r="W27" s="47"/>
      <c r="X27" s="105"/>
      <c r="Y27" s="70"/>
      <c r="AA27" s="47"/>
      <c r="AB27" s="47"/>
      <c r="AC27" s="47"/>
      <c r="AD27" s="105">
        <f t="shared" si="2"/>
        <v>0</v>
      </c>
      <c r="AE27" s="70"/>
      <c r="AG27" s="105">
        <f t="shared" si="3"/>
        <v>0</v>
      </c>
      <c r="AH27" s="70"/>
    </row>
    <row r="28" spans="1:37" x14ac:dyDescent="0.45">
      <c r="A28" s="15"/>
      <c r="B28" s="62" t="s">
        <v>34</v>
      </c>
      <c r="C28" s="32">
        <v>5291</v>
      </c>
      <c r="D28" s="32">
        <v>10254</v>
      </c>
      <c r="E28" s="106">
        <f>SUM(C28:D28)</f>
        <v>15545</v>
      </c>
      <c r="F28" s="68"/>
      <c r="G28" s="21">
        <v>8750</v>
      </c>
      <c r="H28" s="21">
        <v>8750</v>
      </c>
      <c r="I28" s="106">
        <f>G28+H28</f>
        <v>17500</v>
      </c>
      <c r="J28" s="59">
        <f t="shared" si="0"/>
        <v>1955</v>
      </c>
      <c r="K28" s="60">
        <f t="shared" si="5"/>
        <v>0.12576391122547442</v>
      </c>
      <c r="L28" s="68"/>
      <c r="M28" s="68"/>
      <c r="N28" s="20">
        <v>0</v>
      </c>
      <c r="O28" s="20">
        <v>0</v>
      </c>
      <c r="P28" s="107">
        <f t="shared" si="6"/>
        <v>0</v>
      </c>
      <c r="Q28" s="59">
        <f t="shared" si="7"/>
        <v>-15545</v>
      </c>
      <c r="R28" s="60">
        <f t="shared" si="1"/>
        <v>-1</v>
      </c>
      <c r="S28" s="68"/>
      <c r="T28" s="48"/>
      <c r="U28" s="20">
        <v>750</v>
      </c>
      <c r="V28" s="20">
        <v>750</v>
      </c>
      <c r="W28" s="43">
        <f t="shared" ref="W28:W43" si="14">U28+V28</f>
        <v>1500</v>
      </c>
      <c r="X28" s="105">
        <f>W28-P28</f>
        <v>1500</v>
      </c>
      <c r="Y28" s="70">
        <f>IFERROR((W28-P28)/P28,0)</f>
        <v>0</v>
      </c>
      <c r="AA28" s="20">
        <v>750</v>
      </c>
      <c r="AB28" s="20">
        <v>750</v>
      </c>
      <c r="AC28" s="43">
        <f t="shared" ref="AC28:AC43" si="15">AA28+AB28</f>
        <v>1500</v>
      </c>
      <c r="AD28" s="105">
        <f>AC28-P28</f>
        <v>1500</v>
      </c>
      <c r="AE28" s="70"/>
      <c r="AF28" s="42"/>
      <c r="AG28" s="105">
        <f t="shared" si="3"/>
        <v>0</v>
      </c>
      <c r="AH28" s="70"/>
    </row>
    <row r="29" spans="1:37" x14ac:dyDescent="0.45">
      <c r="A29" s="15"/>
      <c r="B29" s="62" t="s">
        <v>35</v>
      </c>
      <c r="C29" s="32">
        <v>15303</v>
      </c>
      <c r="D29" s="32">
        <v>15303</v>
      </c>
      <c r="E29" s="106">
        <f t="shared" ref="E29:E32" si="16">SUM(C29:D29)</f>
        <v>30606</v>
      </c>
      <c r="F29" s="68"/>
      <c r="G29" s="21">
        <v>4300</v>
      </c>
      <c r="H29" s="21">
        <v>1500</v>
      </c>
      <c r="I29" s="106">
        <f>SUM(G29:H29)</f>
        <v>5800</v>
      </c>
      <c r="J29" s="59">
        <f t="shared" si="0"/>
        <v>-24806</v>
      </c>
      <c r="K29" s="60"/>
      <c r="L29" s="68"/>
      <c r="M29" s="68"/>
      <c r="N29" s="20">
        <v>0</v>
      </c>
      <c r="O29" s="20">
        <v>0</v>
      </c>
      <c r="P29" s="107">
        <f t="shared" si="6"/>
        <v>0</v>
      </c>
      <c r="Q29" s="59">
        <f t="shared" si="7"/>
        <v>-30606</v>
      </c>
      <c r="R29" s="60">
        <f t="shared" si="1"/>
        <v>-1</v>
      </c>
      <c r="S29" s="68"/>
      <c r="T29" s="48"/>
      <c r="U29" s="20">
        <v>5800</v>
      </c>
      <c r="V29" s="20">
        <v>0</v>
      </c>
      <c r="W29" s="43">
        <f t="shared" si="14"/>
        <v>5800</v>
      </c>
      <c r="X29" s="105">
        <f>W29-P29</f>
        <v>5800</v>
      </c>
      <c r="Y29" s="70">
        <f>IFERROR((W29-P29)/P29,0)</f>
        <v>0</v>
      </c>
      <c r="AA29" s="20">
        <v>0</v>
      </c>
      <c r="AB29" s="20">
        <v>0</v>
      </c>
      <c r="AC29" s="43">
        <f t="shared" si="15"/>
        <v>0</v>
      </c>
      <c r="AD29" s="105">
        <f t="shared" si="2"/>
        <v>0</v>
      </c>
      <c r="AE29" s="70"/>
      <c r="AF29" s="42"/>
      <c r="AG29" s="105">
        <f t="shared" si="3"/>
        <v>-5800</v>
      </c>
      <c r="AH29" s="70"/>
    </row>
    <row r="30" spans="1:37" x14ac:dyDescent="0.45">
      <c r="A30" s="15"/>
      <c r="B30" s="38" t="s">
        <v>36</v>
      </c>
      <c r="C30" s="33">
        <v>5000</v>
      </c>
      <c r="D30" s="33">
        <v>5000</v>
      </c>
      <c r="E30" s="106">
        <f t="shared" si="16"/>
        <v>10000</v>
      </c>
      <c r="F30" s="74"/>
      <c r="G30" s="33">
        <v>5000</v>
      </c>
      <c r="H30" s="33">
        <v>5000</v>
      </c>
      <c r="I30" s="106">
        <f t="shared" ref="I30:I33" si="17">SUM(G30:H30)</f>
        <v>10000</v>
      </c>
      <c r="J30" s="59">
        <f t="shared" si="0"/>
        <v>0</v>
      </c>
      <c r="K30" s="75">
        <f t="shared" si="5"/>
        <v>0</v>
      </c>
      <c r="L30" s="74"/>
      <c r="M30" s="74"/>
      <c r="N30" s="22">
        <v>5000</v>
      </c>
      <c r="O30" s="22">
        <v>5000</v>
      </c>
      <c r="P30" s="106">
        <f t="shared" si="6"/>
        <v>10000</v>
      </c>
      <c r="Q30" s="59">
        <f t="shared" si="7"/>
        <v>0</v>
      </c>
      <c r="R30" s="60">
        <f t="shared" si="1"/>
        <v>0</v>
      </c>
      <c r="S30" s="74"/>
      <c r="T30" s="47"/>
      <c r="U30" s="20">
        <v>5000</v>
      </c>
      <c r="V30" s="20">
        <v>5000</v>
      </c>
      <c r="W30" s="43">
        <f t="shared" si="14"/>
        <v>10000</v>
      </c>
      <c r="X30" s="105">
        <f>W30-P30</f>
        <v>0</v>
      </c>
      <c r="Y30" s="70">
        <f>IFERROR((W30-P30)/P30,0)</f>
        <v>0</v>
      </c>
      <c r="AA30" s="20">
        <v>5000</v>
      </c>
      <c r="AB30" s="20">
        <v>5000</v>
      </c>
      <c r="AC30" s="43">
        <f t="shared" si="15"/>
        <v>10000</v>
      </c>
      <c r="AD30" s="105">
        <f t="shared" si="2"/>
        <v>0</v>
      </c>
      <c r="AE30" s="70"/>
      <c r="AG30" s="105">
        <f t="shared" si="3"/>
        <v>0</v>
      </c>
      <c r="AH30" s="70"/>
    </row>
    <row r="31" spans="1:37" x14ac:dyDescent="0.45">
      <c r="A31" s="16"/>
      <c r="B31" s="16" t="s">
        <v>37</v>
      </c>
      <c r="C31" s="14">
        <v>0</v>
      </c>
      <c r="D31" s="14">
        <v>3895</v>
      </c>
      <c r="E31" s="106">
        <f t="shared" si="16"/>
        <v>3895</v>
      </c>
      <c r="F31" s="68"/>
      <c r="G31" s="14"/>
      <c r="H31" s="14"/>
      <c r="I31" s="106">
        <f t="shared" si="17"/>
        <v>0</v>
      </c>
      <c r="J31" s="59">
        <f t="shared" si="0"/>
        <v>-3895</v>
      </c>
      <c r="K31" s="60"/>
      <c r="L31" s="98"/>
      <c r="M31" s="98"/>
      <c r="N31" s="22">
        <v>0</v>
      </c>
      <c r="O31" s="22">
        <v>0</v>
      </c>
      <c r="P31" s="106">
        <f t="shared" si="6"/>
        <v>0</v>
      </c>
      <c r="Q31" s="59">
        <f t="shared" si="7"/>
        <v>-3895</v>
      </c>
      <c r="R31" s="60">
        <f t="shared" si="1"/>
        <v>-1</v>
      </c>
      <c r="S31" s="98"/>
      <c r="T31" s="47"/>
      <c r="U31" s="20">
        <v>0</v>
      </c>
      <c r="V31" s="20">
        <v>0</v>
      </c>
      <c r="W31" s="43">
        <f t="shared" si="14"/>
        <v>0</v>
      </c>
      <c r="X31" s="105">
        <f>W31-P31</f>
        <v>0</v>
      </c>
      <c r="Y31" s="70">
        <f>IFERROR((W31-P31)/P31,0)</f>
        <v>0</v>
      </c>
      <c r="AA31" s="20">
        <v>0</v>
      </c>
      <c r="AB31" s="20">
        <v>0</v>
      </c>
      <c r="AC31" s="43">
        <f t="shared" si="15"/>
        <v>0</v>
      </c>
      <c r="AD31" s="105">
        <f t="shared" si="2"/>
        <v>0</v>
      </c>
      <c r="AE31" s="70"/>
      <c r="AF31" s="30"/>
      <c r="AG31" s="105">
        <f t="shared" si="3"/>
        <v>0</v>
      </c>
      <c r="AH31" s="70"/>
      <c r="AI31" s="28"/>
      <c r="AJ31" s="32"/>
      <c r="AK31" s="32"/>
    </row>
    <row r="32" spans="1:37" x14ac:dyDescent="0.45">
      <c r="A32" s="16"/>
      <c r="B32" s="16" t="s">
        <v>46</v>
      </c>
      <c r="C32" s="32">
        <v>2366.0300000000002</v>
      </c>
      <c r="D32" s="32">
        <v>9847.26</v>
      </c>
      <c r="E32" s="106">
        <f t="shared" si="16"/>
        <v>12213.29</v>
      </c>
      <c r="F32" s="74"/>
      <c r="G32" s="77">
        <v>1000</v>
      </c>
      <c r="H32" s="77">
        <v>1000</v>
      </c>
      <c r="I32" s="106">
        <f t="shared" si="17"/>
        <v>2000</v>
      </c>
      <c r="J32" s="59">
        <f t="shared" si="0"/>
        <v>-10213.290000000001</v>
      </c>
      <c r="K32" s="75"/>
      <c r="L32" s="99"/>
      <c r="M32" s="99"/>
      <c r="N32" s="22">
        <v>1000</v>
      </c>
      <c r="O32" s="22">
        <v>1000</v>
      </c>
      <c r="P32" s="106">
        <f t="shared" si="6"/>
        <v>2000</v>
      </c>
      <c r="Q32" s="59">
        <f t="shared" si="7"/>
        <v>-10213.290000000001</v>
      </c>
      <c r="R32" s="60">
        <f t="shared" si="1"/>
        <v>-0.83624396047256722</v>
      </c>
      <c r="S32" s="99"/>
      <c r="T32" s="47"/>
      <c r="U32" s="20">
        <v>1000</v>
      </c>
      <c r="V32" s="20">
        <v>1000</v>
      </c>
      <c r="W32" s="43">
        <f t="shared" si="14"/>
        <v>2000</v>
      </c>
      <c r="X32" s="105">
        <f>W32-P32</f>
        <v>0</v>
      </c>
      <c r="Y32" s="70">
        <f>IFERROR((W32-P32)/P32,0)</f>
        <v>0</v>
      </c>
      <c r="AA32" s="20">
        <v>1000</v>
      </c>
      <c r="AB32" s="20">
        <v>1000</v>
      </c>
      <c r="AC32" s="43">
        <f t="shared" si="15"/>
        <v>2000</v>
      </c>
      <c r="AD32" s="105">
        <f t="shared" si="2"/>
        <v>0</v>
      </c>
      <c r="AE32" s="70"/>
      <c r="AF32" s="30"/>
      <c r="AG32" s="105">
        <f t="shared" si="3"/>
        <v>0</v>
      </c>
      <c r="AH32" s="70"/>
      <c r="AI32" s="28"/>
      <c r="AJ32" s="32"/>
      <c r="AK32" s="32"/>
    </row>
    <row r="33" spans="1:37" x14ac:dyDescent="0.45">
      <c r="A33" s="16"/>
      <c r="B33" s="16" t="s">
        <v>47</v>
      </c>
      <c r="C33" s="32"/>
      <c r="D33" s="32"/>
      <c r="E33" s="106"/>
      <c r="F33" s="74"/>
      <c r="G33" s="77">
        <v>1000</v>
      </c>
      <c r="H33" s="77">
        <v>1000</v>
      </c>
      <c r="I33" s="106">
        <f t="shared" si="17"/>
        <v>2000</v>
      </c>
      <c r="J33" s="59">
        <f t="shared" si="0"/>
        <v>2000</v>
      </c>
      <c r="K33" s="75"/>
      <c r="L33" s="99"/>
      <c r="M33" s="99"/>
      <c r="N33" s="22">
        <v>1000</v>
      </c>
      <c r="O33" s="22">
        <v>1000</v>
      </c>
      <c r="P33" s="106">
        <f t="shared" si="6"/>
        <v>2000</v>
      </c>
      <c r="Q33" s="59">
        <f t="shared" si="7"/>
        <v>2000</v>
      </c>
      <c r="R33" s="60">
        <f t="shared" si="1"/>
        <v>0</v>
      </c>
      <c r="S33" s="99"/>
      <c r="T33" s="47"/>
      <c r="U33" s="20">
        <v>1000</v>
      </c>
      <c r="V33" s="20">
        <v>1000</v>
      </c>
      <c r="W33" s="43">
        <f t="shared" si="14"/>
        <v>2000</v>
      </c>
      <c r="X33" s="105">
        <f>W33-P33</f>
        <v>0</v>
      </c>
      <c r="Y33" s="70">
        <f>IFERROR((W33-P33)/P33,0)</f>
        <v>0</v>
      </c>
      <c r="AA33" s="20">
        <v>1000</v>
      </c>
      <c r="AB33" s="20">
        <v>1000</v>
      </c>
      <c r="AC33" s="43">
        <f t="shared" si="15"/>
        <v>2000</v>
      </c>
      <c r="AD33" s="105">
        <f t="shared" si="2"/>
        <v>0</v>
      </c>
      <c r="AE33" s="70"/>
      <c r="AF33" s="30"/>
      <c r="AG33" s="105">
        <f t="shared" si="3"/>
        <v>0</v>
      </c>
      <c r="AH33" s="70"/>
      <c r="AI33" s="28"/>
      <c r="AJ33" s="32"/>
      <c r="AK33" s="32"/>
    </row>
    <row r="34" spans="1:37" x14ac:dyDescent="0.45">
      <c r="A34" s="16"/>
      <c r="B34" s="16" t="s">
        <v>82</v>
      </c>
      <c r="C34" s="32"/>
      <c r="D34" s="32"/>
      <c r="E34" s="106"/>
      <c r="F34" s="74"/>
      <c r="G34" s="77"/>
      <c r="H34" s="77"/>
      <c r="I34" s="106"/>
      <c r="J34" s="59"/>
      <c r="K34" s="75"/>
      <c r="L34" s="99"/>
      <c r="M34" s="99"/>
      <c r="N34" s="22">
        <v>5876</v>
      </c>
      <c r="O34" s="22">
        <v>10000</v>
      </c>
      <c r="P34" s="106">
        <f t="shared" si="6"/>
        <v>15876</v>
      </c>
      <c r="Q34" s="59">
        <f t="shared" si="7"/>
        <v>15876</v>
      </c>
      <c r="R34" s="60">
        <f t="shared" si="1"/>
        <v>0</v>
      </c>
      <c r="S34" s="99"/>
      <c r="T34" s="47"/>
      <c r="U34" s="20">
        <v>5876</v>
      </c>
      <c r="V34" s="20">
        <v>10000</v>
      </c>
      <c r="W34" s="43">
        <f t="shared" si="14"/>
        <v>15876</v>
      </c>
      <c r="X34" s="105">
        <f>W34-P34</f>
        <v>0</v>
      </c>
      <c r="Y34" s="70">
        <f>IFERROR((W34-P34)/P34,0)</f>
        <v>0</v>
      </c>
      <c r="AA34" s="20">
        <v>5876</v>
      </c>
      <c r="AB34" s="20">
        <v>10000</v>
      </c>
      <c r="AC34" s="43">
        <f t="shared" si="15"/>
        <v>15876</v>
      </c>
      <c r="AD34" s="105">
        <f t="shared" si="2"/>
        <v>0</v>
      </c>
      <c r="AE34" s="70"/>
      <c r="AF34" s="30"/>
      <c r="AG34" s="105">
        <f t="shared" si="3"/>
        <v>0</v>
      </c>
      <c r="AH34" s="70"/>
      <c r="AI34" s="28"/>
      <c r="AJ34" s="32"/>
      <c r="AK34" s="32"/>
    </row>
    <row r="35" spans="1:37" x14ac:dyDescent="0.45">
      <c r="A35" s="16"/>
      <c r="B35" s="16" t="s">
        <v>45</v>
      </c>
      <c r="C35" s="32"/>
      <c r="D35" s="32"/>
      <c r="E35" s="106"/>
      <c r="F35" s="74"/>
      <c r="G35" s="77"/>
      <c r="H35" s="77"/>
      <c r="I35" s="106"/>
      <c r="J35" s="59"/>
      <c r="K35" s="75"/>
      <c r="L35" s="99"/>
      <c r="M35" s="99"/>
      <c r="N35" s="22">
        <v>7349</v>
      </c>
      <c r="O35" s="22">
        <v>8499</v>
      </c>
      <c r="P35" s="106">
        <f t="shared" si="6"/>
        <v>15848</v>
      </c>
      <c r="Q35" s="59">
        <f t="shared" si="7"/>
        <v>15848</v>
      </c>
      <c r="R35" s="60">
        <f t="shared" si="1"/>
        <v>0</v>
      </c>
      <c r="S35" s="99"/>
      <c r="T35" s="47"/>
      <c r="U35" s="47"/>
      <c r="V35" s="47"/>
      <c r="W35" s="43">
        <f t="shared" si="14"/>
        <v>0</v>
      </c>
      <c r="X35" s="105">
        <f>W35-P35</f>
        <v>-15848</v>
      </c>
      <c r="Y35" s="70">
        <f>IFERROR((W35-P35)/P35,0)</f>
        <v>-1</v>
      </c>
      <c r="AA35" s="20">
        <v>7349</v>
      </c>
      <c r="AB35" s="20">
        <v>8499</v>
      </c>
      <c r="AC35" s="43">
        <f t="shared" si="15"/>
        <v>15848</v>
      </c>
      <c r="AD35" s="105">
        <f t="shared" si="2"/>
        <v>0</v>
      </c>
      <c r="AE35" s="70"/>
      <c r="AF35" s="30"/>
      <c r="AG35" s="105">
        <f t="shared" si="3"/>
        <v>15848</v>
      </c>
      <c r="AH35" s="70"/>
      <c r="AI35" s="28"/>
      <c r="AJ35" s="32"/>
      <c r="AK35" s="32"/>
    </row>
    <row r="36" spans="1:37" x14ac:dyDescent="0.45">
      <c r="A36" s="16"/>
      <c r="B36" s="16" t="s">
        <v>44</v>
      </c>
      <c r="C36" s="32"/>
      <c r="D36" s="32"/>
      <c r="E36" s="106"/>
      <c r="F36" s="74"/>
      <c r="G36" s="77"/>
      <c r="H36" s="77"/>
      <c r="I36" s="106"/>
      <c r="J36" s="59"/>
      <c r="K36" s="75"/>
      <c r="L36" s="99"/>
      <c r="M36" s="99"/>
      <c r="N36" s="22">
        <v>2112</v>
      </c>
      <c r="O36" s="22">
        <v>1213</v>
      </c>
      <c r="P36" s="106">
        <f t="shared" si="6"/>
        <v>3325</v>
      </c>
      <c r="Q36" s="59">
        <f t="shared" si="7"/>
        <v>3325</v>
      </c>
      <c r="R36" s="60">
        <f t="shared" si="1"/>
        <v>0</v>
      </c>
      <c r="S36" s="99"/>
      <c r="T36" s="47"/>
      <c r="U36" s="47"/>
      <c r="V36" s="47"/>
      <c r="W36" s="43">
        <f t="shared" si="14"/>
        <v>0</v>
      </c>
      <c r="X36" s="105">
        <f>W36-P36</f>
        <v>-3325</v>
      </c>
      <c r="Y36" s="70">
        <f>IFERROR((W36-P36)/P36,0)</f>
        <v>-1</v>
      </c>
      <c r="AA36" s="20">
        <v>2048</v>
      </c>
      <c r="AB36" s="20">
        <v>1119</v>
      </c>
      <c r="AC36" s="43">
        <f t="shared" si="15"/>
        <v>3167</v>
      </c>
      <c r="AD36" s="105">
        <f t="shared" si="2"/>
        <v>-158</v>
      </c>
      <c r="AE36" s="70"/>
      <c r="AF36" s="30"/>
      <c r="AG36" s="105">
        <f t="shared" si="3"/>
        <v>3167</v>
      </c>
      <c r="AH36" s="70"/>
      <c r="AI36" s="28"/>
      <c r="AJ36" s="32"/>
      <c r="AK36" s="32"/>
    </row>
    <row r="37" spans="1:37" x14ac:dyDescent="0.45">
      <c r="A37" s="16"/>
      <c r="B37" s="16" t="s">
        <v>48</v>
      </c>
      <c r="C37" s="34"/>
      <c r="D37" s="34"/>
      <c r="E37" s="106"/>
      <c r="F37" s="68"/>
      <c r="G37" s="14"/>
      <c r="H37" s="14"/>
      <c r="I37" s="106"/>
      <c r="J37" s="59"/>
      <c r="K37" s="60"/>
      <c r="L37" s="68"/>
      <c r="M37" s="68"/>
      <c r="N37" s="71">
        <v>10</v>
      </c>
      <c r="O37" s="71">
        <v>10</v>
      </c>
      <c r="P37" s="106">
        <f t="shared" si="6"/>
        <v>20</v>
      </c>
      <c r="Q37" s="59">
        <f t="shared" si="7"/>
        <v>20</v>
      </c>
      <c r="R37" s="60">
        <f t="shared" si="1"/>
        <v>0</v>
      </c>
      <c r="S37" s="68"/>
      <c r="T37" s="48"/>
      <c r="U37" s="48"/>
      <c r="V37" s="48"/>
      <c r="W37" s="43">
        <f t="shared" si="14"/>
        <v>0</v>
      </c>
      <c r="X37" s="105">
        <f>W37-P37</f>
        <v>-20</v>
      </c>
      <c r="Y37" s="70">
        <f>IFERROR((W37-P37)/P37,0)</f>
        <v>-1</v>
      </c>
      <c r="AA37" s="20">
        <v>10</v>
      </c>
      <c r="AB37" s="48"/>
      <c r="AC37" s="43">
        <f t="shared" si="15"/>
        <v>10</v>
      </c>
      <c r="AD37" s="105">
        <f t="shared" si="2"/>
        <v>-10</v>
      </c>
      <c r="AE37" s="70"/>
      <c r="AF37" s="31"/>
      <c r="AG37" s="105">
        <f t="shared" si="3"/>
        <v>10</v>
      </c>
      <c r="AH37" s="70"/>
      <c r="AI37" s="29"/>
      <c r="AJ37" s="33"/>
      <c r="AK37" s="33"/>
    </row>
    <row r="38" spans="1:37" x14ac:dyDescent="0.45">
      <c r="A38" s="16"/>
      <c r="B38" s="16" t="s">
        <v>103</v>
      </c>
      <c r="C38" s="34"/>
      <c r="D38" s="34"/>
      <c r="E38" s="106"/>
      <c r="F38" s="68"/>
      <c r="G38" s="14"/>
      <c r="H38" s="14"/>
      <c r="I38" s="106"/>
      <c r="J38" s="59"/>
      <c r="K38" s="60"/>
      <c r="L38" s="68"/>
      <c r="M38" s="68"/>
      <c r="N38" s="71"/>
      <c r="O38" s="71"/>
      <c r="P38" s="107"/>
      <c r="Q38" s="59"/>
      <c r="R38" s="60"/>
      <c r="S38" s="68"/>
      <c r="T38" s="48"/>
      <c r="U38" s="20">
        <v>7000</v>
      </c>
      <c r="V38" s="20">
        <v>7000</v>
      </c>
      <c r="W38" s="43">
        <f t="shared" si="14"/>
        <v>14000</v>
      </c>
      <c r="X38" s="105">
        <f>W38-P38</f>
        <v>14000</v>
      </c>
      <c r="Y38" s="70">
        <f>IFERROR((W38-P38)/P38,0)</f>
        <v>0</v>
      </c>
      <c r="AA38" s="20">
        <v>4000</v>
      </c>
      <c r="AB38" s="20">
        <v>4000</v>
      </c>
      <c r="AC38" s="43">
        <f t="shared" si="15"/>
        <v>8000</v>
      </c>
      <c r="AD38" s="105">
        <f t="shared" si="2"/>
        <v>8000</v>
      </c>
      <c r="AE38" s="70"/>
      <c r="AF38" s="31"/>
      <c r="AG38" s="105">
        <f t="shared" si="3"/>
        <v>-6000</v>
      </c>
      <c r="AH38" s="70"/>
      <c r="AI38" s="29"/>
      <c r="AJ38" s="33"/>
      <c r="AK38" s="33"/>
    </row>
    <row r="39" spans="1:37" x14ac:dyDescent="0.45">
      <c r="A39" s="16"/>
      <c r="B39" s="16" t="s">
        <v>61</v>
      </c>
      <c r="C39" s="34"/>
      <c r="D39" s="34"/>
      <c r="E39" s="106"/>
      <c r="F39" s="68"/>
      <c r="G39" s="14"/>
      <c r="H39" s="14"/>
      <c r="I39" s="106"/>
      <c r="J39" s="59"/>
      <c r="K39" s="60"/>
      <c r="L39" s="68"/>
      <c r="M39" s="68"/>
      <c r="N39" s="71"/>
      <c r="O39" s="71"/>
      <c r="P39" s="107"/>
      <c r="Q39" s="59"/>
      <c r="R39" s="60"/>
      <c r="S39" s="68"/>
      <c r="T39" s="48"/>
      <c r="U39" s="20">
        <v>925</v>
      </c>
      <c r="V39" s="20">
        <v>925</v>
      </c>
      <c r="W39" s="43">
        <f t="shared" si="14"/>
        <v>1850</v>
      </c>
      <c r="X39" s="105">
        <f>W39-P39</f>
        <v>1850</v>
      </c>
      <c r="Y39" s="70">
        <f>IFERROR((W39-P39)/P39,0)</f>
        <v>0</v>
      </c>
      <c r="AA39" s="20"/>
      <c r="AB39" s="20"/>
      <c r="AC39" s="43">
        <f t="shared" si="15"/>
        <v>0</v>
      </c>
      <c r="AD39" s="105">
        <f t="shared" si="2"/>
        <v>0</v>
      </c>
      <c r="AE39" s="70"/>
      <c r="AF39" s="31"/>
      <c r="AG39" s="105">
        <f t="shared" si="3"/>
        <v>-1850</v>
      </c>
      <c r="AH39" s="70"/>
      <c r="AI39" s="29"/>
      <c r="AJ39" s="33"/>
      <c r="AK39" s="33"/>
    </row>
    <row r="40" spans="1:37" x14ac:dyDescent="0.45">
      <c r="A40" s="16"/>
      <c r="B40" s="16" t="s">
        <v>64</v>
      </c>
      <c r="C40" s="34"/>
      <c r="D40" s="34"/>
      <c r="E40" s="106"/>
      <c r="F40" s="68"/>
      <c r="G40" s="14"/>
      <c r="H40" s="14"/>
      <c r="I40" s="106"/>
      <c r="J40" s="59"/>
      <c r="K40" s="60"/>
      <c r="L40" s="68"/>
      <c r="M40" s="68"/>
      <c r="N40" s="71"/>
      <c r="O40" s="71"/>
      <c r="P40" s="107"/>
      <c r="Q40" s="59"/>
      <c r="R40" s="60"/>
      <c r="S40" s="68"/>
      <c r="T40" s="48"/>
      <c r="U40" s="20">
        <v>516</v>
      </c>
      <c r="V40" s="20">
        <v>516</v>
      </c>
      <c r="W40" s="43">
        <f t="shared" si="14"/>
        <v>1032</v>
      </c>
      <c r="X40" s="105">
        <f>W40-P40</f>
        <v>1032</v>
      </c>
      <c r="Y40" s="70">
        <f>IFERROR((W40-P40)/P40,0)</f>
        <v>0</v>
      </c>
      <c r="AA40" s="20">
        <v>516</v>
      </c>
      <c r="AB40" s="20">
        <v>516</v>
      </c>
      <c r="AC40" s="43">
        <f t="shared" si="15"/>
        <v>1032</v>
      </c>
      <c r="AD40" s="105">
        <f t="shared" si="2"/>
        <v>1032</v>
      </c>
      <c r="AE40" s="70"/>
      <c r="AF40" s="31"/>
      <c r="AG40" s="105">
        <f t="shared" si="3"/>
        <v>0</v>
      </c>
      <c r="AH40" s="70"/>
      <c r="AI40" s="29"/>
      <c r="AJ40" s="33"/>
      <c r="AK40" s="33"/>
    </row>
    <row r="41" spans="1:37" x14ac:dyDescent="0.45">
      <c r="A41" s="16"/>
      <c r="B41" s="16" t="s">
        <v>65</v>
      </c>
      <c r="C41" s="34"/>
      <c r="D41" s="34"/>
      <c r="E41" s="106"/>
      <c r="F41" s="68"/>
      <c r="G41" s="14"/>
      <c r="H41" s="14"/>
      <c r="I41" s="106"/>
      <c r="J41" s="59"/>
      <c r="K41" s="60"/>
      <c r="L41" s="68"/>
      <c r="M41" s="68"/>
      <c r="N41" s="71"/>
      <c r="O41" s="71"/>
      <c r="P41" s="107"/>
      <c r="Q41" s="59"/>
      <c r="R41" s="60"/>
      <c r="S41" s="68"/>
      <c r="T41" s="48"/>
      <c r="U41" s="20">
        <v>350</v>
      </c>
      <c r="V41" s="20">
        <v>350</v>
      </c>
      <c r="W41" s="43">
        <f t="shared" si="14"/>
        <v>700</v>
      </c>
      <c r="X41" s="105">
        <f>W41-P41</f>
        <v>700</v>
      </c>
      <c r="Y41" s="70">
        <f>IFERROR((W41-P41)/P41,0)</f>
        <v>0</v>
      </c>
      <c r="AA41" s="20">
        <v>350</v>
      </c>
      <c r="AB41" s="20"/>
      <c r="AC41" s="43">
        <f t="shared" si="15"/>
        <v>350</v>
      </c>
      <c r="AD41" s="105">
        <f t="shared" si="2"/>
        <v>350</v>
      </c>
      <c r="AE41" s="70"/>
      <c r="AF41" s="31"/>
      <c r="AG41" s="105">
        <f t="shared" si="3"/>
        <v>-350</v>
      </c>
      <c r="AH41" s="70"/>
      <c r="AI41" s="29"/>
      <c r="AJ41" s="33"/>
      <c r="AK41" s="33"/>
    </row>
    <row r="42" spans="1:37" x14ac:dyDescent="0.45">
      <c r="A42" s="16"/>
      <c r="B42" s="16" t="s">
        <v>66</v>
      </c>
      <c r="C42" s="34"/>
      <c r="D42" s="34"/>
      <c r="E42" s="106"/>
      <c r="F42" s="74"/>
      <c r="G42" s="77"/>
      <c r="H42" s="77"/>
      <c r="I42" s="106"/>
      <c r="J42" s="59"/>
      <c r="K42" s="75"/>
      <c r="L42" s="74"/>
      <c r="M42" s="74"/>
      <c r="N42" s="71"/>
      <c r="O42" s="71"/>
      <c r="P42" s="106"/>
      <c r="Q42" s="59">
        <f t="shared" si="7"/>
        <v>0</v>
      </c>
      <c r="R42" s="60">
        <f t="shared" si="1"/>
        <v>0</v>
      </c>
      <c r="S42" s="74"/>
      <c r="T42" s="48"/>
      <c r="U42" s="20">
        <v>16</v>
      </c>
      <c r="V42" s="20">
        <v>91</v>
      </c>
      <c r="W42" s="43">
        <f t="shared" si="14"/>
        <v>107</v>
      </c>
      <c r="X42" s="105">
        <f>W42-P42</f>
        <v>107</v>
      </c>
      <c r="Y42" s="70">
        <f>IFERROR((W42-P42)/P42,0)</f>
        <v>0</v>
      </c>
      <c r="AA42" s="20">
        <v>16</v>
      </c>
      <c r="AB42" s="20">
        <v>91</v>
      </c>
      <c r="AC42" s="43">
        <f t="shared" si="15"/>
        <v>107</v>
      </c>
      <c r="AD42" s="105">
        <f t="shared" si="2"/>
        <v>107</v>
      </c>
      <c r="AE42" s="70"/>
      <c r="AF42" s="31"/>
      <c r="AG42" s="105">
        <f t="shared" si="3"/>
        <v>0</v>
      </c>
      <c r="AH42" s="70"/>
      <c r="AI42" s="29"/>
      <c r="AJ42" s="33"/>
      <c r="AK42" s="33"/>
    </row>
    <row r="43" spans="1:37" x14ac:dyDescent="0.45">
      <c r="A43" s="17" t="s">
        <v>19</v>
      </c>
      <c r="B43" s="51"/>
      <c r="C43" s="23">
        <f>SUM(C17:C42)</f>
        <v>27960.03</v>
      </c>
      <c r="D43" s="23">
        <f>SUM(D17:D42)</f>
        <v>44299.26</v>
      </c>
      <c r="E43" s="106">
        <f>SUM(C43:D43)</f>
        <v>72259.290000000008</v>
      </c>
      <c r="F43" s="68"/>
      <c r="G43" s="104">
        <f>SUM(G17:G42)</f>
        <v>-31650</v>
      </c>
      <c r="H43" s="104">
        <f>SUM(H17:H42)</f>
        <v>-40398</v>
      </c>
      <c r="I43" s="106">
        <f>G43+H43</f>
        <v>-72048</v>
      </c>
      <c r="J43" s="59">
        <f t="shared" si="0"/>
        <v>-144307.29</v>
      </c>
      <c r="K43" s="60">
        <f>(I43-E43)/E43</f>
        <v>-1.9970759469128467</v>
      </c>
      <c r="L43" s="68"/>
      <c r="M43" s="68"/>
      <c r="N43" s="104">
        <f>SUM(N17:N42)</f>
        <v>11106</v>
      </c>
      <c r="O43" s="104">
        <f>SUM(O17:O42)</f>
        <v>35535</v>
      </c>
      <c r="P43" s="109">
        <f>N43+O43</f>
        <v>46641</v>
      </c>
      <c r="Q43" s="59">
        <f t="shared" si="7"/>
        <v>-25618.290000000008</v>
      </c>
      <c r="R43" s="60">
        <f t="shared" si="1"/>
        <v>-0.35453282200807684</v>
      </c>
      <c r="S43" s="68"/>
      <c r="T43" s="47"/>
      <c r="U43" s="104">
        <f>SUM(U17:U42)</f>
        <v>27855</v>
      </c>
      <c r="V43" s="104">
        <f>SUM(V17:V42)</f>
        <v>26254</v>
      </c>
      <c r="W43" s="43">
        <f t="shared" si="14"/>
        <v>54109</v>
      </c>
      <c r="X43" s="105">
        <f>W43-P43</f>
        <v>7468</v>
      </c>
      <c r="Y43" s="70">
        <f>IFERROR((W43-P43)/P43,0)</f>
        <v>0.1601166355781394</v>
      </c>
      <c r="AA43" s="104">
        <f>SUM(AA25:AA42)</f>
        <v>21970</v>
      </c>
      <c r="AB43" s="104">
        <f>SUM(AB25:AB42)</f>
        <v>45202</v>
      </c>
      <c r="AC43" s="43">
        <f t="shared" si="15"/>
        <v>67172</v>
      </c>
      <c r="AD43" s="105">
        <f t="shared" si="2"/>
        <v>20531</v>
      </c>
      <c r="AE43" s="70">
        <f>IFERROR((AC43-P43)/P43,0)</f>
        <v>0.44019210565811195</v>
      </c>
      <c r="AG43" s="105">
        <f t="shared" si="3"/>
        <v>13063</v>
      </c>
      <c r="AH43" s="70">
        <f t="shared" ref="AH8:AH44" si="18">IFERROR((AC43-W43)/W43,0)</f>
        <v>0.24142009647193627</v>
      </c>
    </row>
    <row r="44" spans="1:37" ht="14.65" thickBot="1" x14ac:dyDescent="0.5">
      <c r="A44" s="17" t="s">
        <v>104</v>
      </c>
      <c r="C44" s="24">
        <f>C15+C43</f>
        <v>942901.03</v>
      </c>
      <c r="D44" s="25">
        <f>D15+D43</f>
        <v>972019.26</v>
      </c>
      <c r="E44" s="78">
        <f>E15+E43</f>
        <v>1914920.29</v>
      </c>
      <c r="F44" s="74"/>
      <c r="G44" s="24">
        <f>G15+G43</f>
        <v>882314</v>
      </c>
      <c r="H44" s="25">
        <f>H15+H43</f>
        <v>886219</v>
      </c>
      <c r="I44" s="78">
        <f>I15+I43</f>
        <v>1768533</v>
      </c>
      <c r="J44" s="59">
        <f t="shared" si="0"/>
        <v>-146387.29000000004</v>
      </c>
      <c r="K44" s="75">
        <f>(I44-E44)/E44</f>
        <v>-7.644563106070594E-2</v>
      </c>
      <c r="L44" s="74"/>
      <c r="M44" s="74"/>
      <c r="N44" s="24">
        <f>N15+N43</f>
        <v>921446</v>
      </c>
      <c r="O44" s="25">
        <f>O15+O43</f>
        <v>954675</v>
      </c>
      <c r="P44" s="78">
        <f t="shared" si="6"/>
        <v>1876121</v>
      </c>
      <c r="Q44" s="59">
        <f t="shared" si="7"/>
        <v>-38799.290000000037</v>
      </c>
      <c r="R44" s="60">
        <f t="shared" si="1"/>
        <v>-2.0261569216544276E-2</v>
      </c>
      <c r="S44" s="74"/>
      <c r="T44" s="47"/>
      <c r="U44" s="24">
        <f>U15+U43</f>
        <v>934711</v>
      </c>
      <c r="V44" s="25">
        <f>V15+V43</f>
        <v>941902</v>
      </c>
      <c r="W44" s="78">
        <f>U44+V44</f>
        <v>1876613</v>
      </c>
      <c r="X44" s="105">
        <f>W44-P44</f>
        <v>492</v>
      </c>
      <c r="Y44" s="70">
        <f>IFERROR((W44-P44)/P44,0)</f>
        <v>2.622432135240744E-4</v>
      </c>
      <c r="AA44" s="24">
        <f>AA15+AA43</f>
        <v>928826</v>
      </c>
      <c r="AB44" s="25">
        <f>AB15+AB43</f>
        <v>960850</v>
      </c>
      <c r="AC44" s="78">
        <f>AA44+AB44</f>
        <v>1889676</v>
      </c>
      <c r="AD44" s="105">
        <f>AC44-P44</f>
        <v>13555</v>
      </c>
      <c r="AE44" s="70">
        <f t="shared" ref="AE8:AE44" si="19">IFERROR((AC44-P44)/P44,0)</f>
        <v>7.2250137384529036E-3</v>
      </c>
      <c r="AF44" s="97"/>
      <c r="AG44" s="105">
        <f t="shared" si="3"/>
        <v>13063</v>
      </c>
      <c r="AH44" s="70">
        <f t="shared" si="18"/>
        <v>6.9609450643259956E-3</v>
      </c>
    </row>
    <row r="45" spans="1:37" ht="14.65" thickTop="1" x14ac:dyDescent="0.45">
      <c r="A45" s="5" t="s">
        <v>32</v>
      </c>
      <c r="C45" s="35">
        <f>(C44-C7)/C7</f>
        <v>4.0669884289201978E-2</v>
      </c>
      <c r="D45" s="35">
        <f>(D44-D7)/D7</f>
        <v>7.2715018816284643E-2</v>
      </c>
      <c r="E45" s="147">
        <f>(E44-E7)/E7</f>
        <v>5.6693141196634794E-2</v>
      </c>
      <c r="F45" s="148"/>
      <c r="G45" s="149">
        <f>(G44-G7)/G7</f>
        <v>-2.6199379285074147E-2</v>
      </c>
      <c r="H45" s="149">
        <f>(H44-H7)/H7</f>
        <v>-2.1973668237449371E-2</v>
      </c>
      <c r="I45" s="149">
        <f>(I44-I7)/I7</f>
        <v>-2.40864328196616E-2</v>
      </c>
      <c r="J45" s="150"/>
      <c r="K45" s="151"/>
      <c r="L45" s="148"/>
      <c r="M45" s="148"/>
      <c r="N45" s="149">
        <f>(N44-N7)/N7</f>
        <v>1.6990194823255176E-2</v>
      </c>
      <c r="O45" s="149">
        <f>(O44-O7)/O7</f>
        <v>5.3573990487016214E-2</v>
      </c>
      <c r="P45" s="152">
        <f>(P44-P7)/P7</f>
        <v>3.5282879975631586E-2</v>
      </c>
      <c r="Q45" s="150"/>
      <c r="R45" s="151"/>
      <c r="S45" s="148"/>
      <c r="T45" s="152"/>
      <c r="U45" s="149">
        <f>(U44-U7)/U7</f>
        <v>3.1630634886297915E-2</v>
      </c>
      <c r="V45" s="149">
        <f>(V44-V7)/V7</f>
        <v>3.9477779126615389E-2</v>
      </c>
      <c r="W45" s="152">
        <f>(W44-W7)/W7</f>
        <v>3.5554375884982857E-2</v>
      </c>
      <c r="X45" s="153"/>
      <c r="Y45" s="154"/>
      <c r="Z45" s="155"/>
      <c r="AA45" s="149">
        <f>(AA44-AA7)/AA7</f>
        <v>2.5135422690971378E-2</v>
      </c>
      <c r="AB45" s="149">
        <f>(AB44-AB7)/AB7</f>
        <v>6.0388685950139603E-2</v>
      </c>
      <c r="AC45" s="152">
        <f>(AC44-AC7)/AC7</f>
        <v>4.2762813006640615E-2</v>
      </c>
      <c r="AD45" s="90"/>
      <c r="AE45" s="11"/>
      <c r="AG45" s="90"/>
      <c r="AH45" s="11"/>
    </row>
    <row r="46" spans="1:37" ht="9.75" customHeight="1" x14ac:dyDescent="0.45">
      <c r="B46" s="37"/>
      <c r="J46"/>
      <c r="Q46"/>
      <c r="T46"/>
      <c r="U46" s="97"/>
      <c r="X46"/>
      <c r="Y46"/>
    </row>
    <row r="47" spans="1:37" hidden="1" x14ac:dyDescent="0.45">
      <c r="J47"/>
      <c r="Q47"/>
      <c r="T47"/>
      <c r="X47"/>
      <c r="Y47"/>
    </row>
    <row r="48" spans="1:37" x14ac:dyDescent="0.45">
      <c r="B48" s="81" t="s">
        <v>20</v>
      </c>
      <c r="C48" s="82"/>
      <c r="D48" s="82"/>
      <c r="E48" s="83" t="s">
        <v>86</v>
      </c>
      <c r="F48" s="82"/>
      <c r="G48" s="56"/>
      <c r="H48" s="56"/>
      <c r="I48" s="83" t="s">
        <v>16</v>
      </c>
      <c r="J48" s="83"/>
      <c r="K48" s="83"/>
      <c r="L48" s="83"/>
      <c r="M48" s="83"/>
      <c r="N48" s="83"/>
      <c r="O48" s="83"/>
      <c r="P48" s="84" t="s">
        <v>12</v>
      </c>
      <c r="Q48" s="83"/>
      <c r="R48" s="83"/>
      <c r="S48" s="83"/>
      <c r="T48" s="85"/>
      <c r="U48" s="86"/>
      <c r="V48" s="86"/>
      <c r="W48" s="87" t="s">
        <v>17</v>
      </c>
      <c r="X48" s="45"/>
      <c r="Y48" s="94"/>
      <c r="AC48" s="87" t="s">
        <v>116</v>
      </c>
    </row>
    <row r="49" spans="2:31" ht="14.25" customHeight="1" x14ac:dyDescent="0.45">
      <c r="B49" s="116" t="s">
        <v>33</v>
      </c>
      <c r="C49" s="114"/>
      <c r="D49" s="114"/>
      <c r="E49" s="115"/>
      <c r="F49" s="115"/>
      <c r="G49" s="115"/>
      <c r="H49" s="115"/>
      <c r="I49" s="115" t="s">
        <v>83</v>
      </c>
      <c r="J49" s="115"/>
      <c r="K49" s="115"/>
      <c r="L49" s="115"/>
      <c r="M49" s="115"/>
      <c r="N49" s="115"/>
      <c r="O49" s="115"/>
      <c r="P49" s="138" t="s">
        <v>84</v>
      </c>
      <c r="Q49" s="139"/>
      <c r="R49" s="139"/>
      <c r="S49" s="139"/>
      <c r="T49" s="139"/>
      <c r="U49" s="139"/>
      <c r="V49" s="139"/>
      <c r="W49" s="139"/>
      <c r="X49" s="139"/>
      <c r="Y49" s="139"/>
      <c r="Z49" s="139"/>
      <c r="AA49" s="139"/>
      <c r="AB49" s="139"/>
      <c r="AC49" s="139"/>
      <c r="AD49" s="139"/>
    </row>
    <row r="50" spans="2:31" s="51" customFormat="1" ht="26.25" x14ac:dyDescent="0.45">
      <c r="B50" s="121" t="s">
        <v>110</v>
      </c>
      <c r="C50" s="120"/>
      <c r="D50" s="120"/>
      <c r="E50" s="121"/>
      <c r="F50" s="121"/>
      <c r="G50" s="121"/>
      <c r="H50" s="121"/>
      <c r="I50" s="121"/>
      <c r="J50" s="121"/>
      <c r="K50" s="121"/>
      <c r="L50" s="121"/>
      <c r="M50" s="121"/>
      <c r="N50" s="121"/>
      <c r="O50" s="121"/>
      <c r="P50" s="140" t="s">
        <v>111</v>
      </c>
      <c r="Q50" s="141"/>
      <c r="R50" s="141"/>
      <c r="S50" s="141"/>
      <c r="T50" s="141"/>
      <c r="U50" s="141"/>
      <c r="V50" s="141"/>
      <c r="W50" s="141"/>
      <c r="X50" s="141"/>
      <c r="Y50" s="141"/>
      <c r="Z50" s="141"/>
      <c r="AA50" s="141"/>
      <c r="AB50" s="141"/>
      <c r="AC50" s="141"/>
      <c r="AD50" s="141"/>
    </row>
    <row r="51" spans="2:31" ht="78.75" customHeight="1" x14ac:dyDescent="0.45">
      <c r="B51" s="116" t="s">
        <v>109</v>
      </c>
      <c r="C51" s="114"/>
      <c r="D51" s="114"/>
      <c r="E51" s="115"/>
      <c r="F51" s="115"/>
      <c r="G51" s="115"/>
      <c r="H51" s="115"/>
      <c r="I51" s="115"/>
      <c r="J51" s="115"/>
      <c r="K51" s="115"/>
      <c r="L51" s="115"/>
      <c r="M51" s="115"/>
      <c r="N51" s="115"/>
      <c r="O51" s="115"/>
      <c r="P51" s="142" t="s">
        <v>113</v>
      </c>
      <c r="Q51" s="143"/>
      <c r="R51" s="143"/>
      <c r="S51" s="143"/>
      <c r="T51" s="143"/>
      <c r="U51" s="143"/>
      <c r="V51" s="143"/>
      <c r="W51" s="143"/>
      <c r="X51" s="143"/>
      <c r="Y51" s="143"/>
      <c r="Z51" s="143"/>
      <c r="AA51" s="143"/>
      <c r="AB51" s="143"/>
      <c r="AC51" s="143"/>
      <c r="AD51" s="143"/>
    </row>
    <row r="52" spans="2:31" s="51" customFormat="1" ht="26.25" customHeight="1" x14ac:dyDescent="0.45">
      <c r="B52" s="57" t="s">
        <v>115</v>
      </c>
      <c r="C52" s="120"/>
      <c r="D52" s="120"/>
      <c r="E52" s="121"/>
      <c r="F52" s="121"/>
      <c r="G52" s="121"/>
      <c r="H52" s="121"/>
      <c r="I52" s="121"/>
      <c r="J52" s="121"/>
      <c r="K52" s="121"/>
      <c r="L52" s="121"/>
      <c r="M52" s="121"/>
      <c r="N52" s="121"/>
      <c r="O52" s="121"/>
      <c r="P52" s="144" t="s">
        <v>114</v>
      </c>
      <c r="Q52" s="145"/>
      <c r="R52" s="145"/>
      <c r="S52" s="145"/>
      <c r="T52" s="145"/>
      <c r="U52" s="145"/>
      <c r="V52" s="145"/>
      <c r="W52" s="145"/>
      <c r="X52" s="145"/>
      <c r="Y52" s="145"/>
      <c r="Z52" s="145"/>
      <c r="AA52" s="145"/>
      <c r="AB52" s="145"/>
      <c r="AC52" s="145"/>
      <c r="AD52" s="145"/>
    </row>
    <row r="53" spans="2:31" ht="39.4" x14ac:dyDescent="0.45">
      <c r="B53" s="41" t="s">
        <v>34</v>
      </c>
      <c r="C53" s="55"/>
      <c r="D53" s="55"/>
      <c r="E53" s="52" t="s">
        <v>87</v>
      </c>
      <c r="F53" s="40"/>
      <c r="G53" s="126" t="s">
        <v>88</v>
      </c>
      <c r="H53" s="126"/>
      <c r="I53" s="126"/>
      <c r="J53" s="126"/>
      <c r="K53" s="126"/>
      <c r="L53" s="54"/>
      <c r="M53" s="54"/>
      <c r="N53" s="125"/>
      <c r="O53" s="125"/>
      <c r="P53" s="125"/>
      <c r="Q53" s="56"/>
      <c r="R53" s="56"/>
      <c r="S53" s="54"/>
      <c r="T53" s="57"/>
      <c r="U53" s="132" t="s">
        <v>89</v>
      </c>
      <c r="V53" s="132"/>
      <c r="W53" s="132"/>
      <c r="X53" s="40"/>
      <c r="Y53" s="110"/>
      <c r="Z53" s="37"/>
      <c r="AA53" s="37"/>
      <c r="AC53" s="132" t="s">
        <v>89</v>
      </c>
      <c r="AD53" s="132"/>
      <c r="AE53" s="132"/>
    </row>
    <row r="54" spans="2:31" ht="39.4" x14ac:dyDescent="0.45">
      <c r="B54" s="113" t="s">
        <v>35</v>
      </c>
      <c r="C54" s="114"/>
      <c r="D54" s="114"/>
      <c r="E54" s="115" t="s">
        <v>90</v>
      </c>
      <c r="F54" s="116"/>
      <c r="G54" s="116"/>
      <c r="H54" s="116"/>
      <c r="I54" s="116" t="s">
        <v>89</v>
      </c>
      <c r="J54" s="116"/>
      <c r="K54" s="116"/>
      <c r="L54" s="116"/>
      <c r="M54" s="116"/>
      <c r="N54" s="116"/>
      <c r="O54" s="116"/>
      <c r="P54" s="116"/>
      <c r="Q54" s="116"/>
      <c r="R54" s="116"/>
      <c r="S54" s="116"/>
      <c r="T54" s="116"/>
      <c r="U54" s="116"/>
      <c r="V54" s="116"/>
      <c r="W54" s="116" t="s">
        <v>89</v>
      </c>
      <c r="X54" s="116" t="s">
        <v>89</v>
      </c>
      <c r="Y54" s="116" t="s">
        <v>89</v>
      </c>
      <c r="Z54" s="116"/>
      <c r="AA54" s="116" t="s">
        <v>89</v>
      </c>
      <c r="AB54" s="116" t="s">
        <v>89</v>
      </c>
      <c r="AC54" s="116" t="s">
        <v>121</v>
      </c>
    </row>
    <row r="55" spans="2:31" ht="39.4" x14ac:dyDescent="0.45">
      <c r="B55" s="111" t="s">
        <v>36</v>
      </c>
      <c r="C55" s="55"/>
      <c r="D55" s="55"/>
      <c r="E55" s="52" t="s">
        <v>91</v>
      </c>
      <c r="F55" s="40"/>
      <c r="G55" s="40"/>
      <c r="H55" s="40"/>
      <c r="I55" s="40" t="s">
        <v>88</v>
      </c>
      <c r="J55" s="40"/>
      <c r="K55" s="40"/>
      <c r="L55" s="40"/>
      <c r="M55" s="40"/>
      <c r="N55" s="40"/>
      <c r="O55" s="40"/>
      <c r="P55" s="40" t="s">
        <v>88</v>
      </c>
      <c r="Q55" s="40"/>
      <c r="R55" s="40"/>
      <c r="S55" s="40"/>
      <c r="T55" s="40"/>
      <c r="U55" s="40"/>
      <c r="V55" s="40"/>
      <c r="W55" s="40" t="s">
        <v>88</v>
      </c>
      <c r="X55" s="40"/>
      <c r="Y55" s="110"/>
      <c r="Z55" s="37"/>
      <c r="AA55" s="37"/>
      <c r="AC55" s="40" t="s">
        <v>88</v>
      </c>
    </row>
    <row r="56" spans="2:31" ht="39.4" x14ac:dyDescent="0.45">
      <c r="B56" s="117" t="s">
        <v>37</v>
      </c>
      <c r="C56" s="114"/>
      <c r="D56" s="114"/>
      <c r="E56" s="115" t="s">
        <v>92</v>
      </c>
      <c r="F56" s="116"/>
      <c r="G56" s="116"/>
      <c r="H56" s="116"/>
      <c r="I56" s="116" t="s">
        <v>121</v>
      </c>
      <c r="J56" s="116"/>
      <c r="K56" s="116"/>
      <c r="L56" s="116"/>
      <c r="M56" s="116"/>
      <c r="N56" s="116"/>
      <c r="O56" s="116"/>
      <c r="P56" s="116" t="s">
        <v>121</v>
      </c>
      <c r="Q56" s="116"/>
      <c r="R56" s="116"/>
      <c r="S56" s="116"/>
      <c r="T56" s="116"/>
      <c r="U56" s="116"/>
      <c r="V56" s="116"/>
      <c r="W56" s="116" t="s">
        <v>121</v>
      </c>
      <c r="X56" s="116" t="s">
        <v>121</v>
      </c>
      <c r="Y56" s="116" t="s">
        <v>121</v>
      </c>
      <c r="Z56" s="116"/>
      <c r="AA56" s="116" t="s">
        <v>121</v>
      </c>
      <c r="AB56" s="116" t="s">
        <v>121</v>
      </c>
      <c r="AC56" s="116" t="s">
        <v>121</v>
      </c>
    </row>
    <row r="57" spans="2:31" ht="39.4" x14ac:dyDescent="0.45">
      <c r="B57" s="112" t="s">
        <v>46</v>
      </c>
      <c r="C57" s="55"/>
      <c r="D57" s="55"/>
      <c r="E57" s="52" t="s">
        <v>93</v>
      </c>
      <c r="F57" s="40"/>
      <c r="G57" s="40"/>
      <c r="H57" s="40"/>
      <c r="I57" s="40" t="s">
        <v>89</v>
      </c>
      <c r="J57" s="40"/>
      <c r="K57" s="40"/>
      <c r="L57" s="40"/>
      <c r="M57" s="40"/>
      <c r="N57" s="40"/>
      <c r="O57" s="40"/>
      <c r="P57" s="40" t="s">
        <v>89</v>
      </c>
      <c r="Q57" s="40"/>
      <c r="R57" s="40"/>
      <c r="S57" s="40"/>
      <c r="T57" s="40"/>
      <c r="U57" s="40"/>
      <c r="V57" s="40"/>
      <c r="W57" s="40" t="s">
        <v>89</v>
      </c>
      <c r="X57" s="40"/>
      <c r="Y57" s="110"/>
      <c r="Z57" s="37"/>
      <c r="AA57" s="37"/>
      <c r="AC57" s="40" t="s">
        <v>89</v>
      </c>
    </row>
    <row r="58" spans="2:31" ht="52.5" x14ac:dyDescent="0.45">
      <c r="B58" s="117" t="s">
        <v>47</v>
      </c>
      <c r="C58" s="114"/>
      <c r="D58" s="114"/>
      <c r="E58" s="116"/>
      <c r="F58" s="116"/>
      <c r="G58" s="119"/>
      <c r="H58" s="119"/>
      <c r="I58" s="115" t="s">
        <v>94</v>
      </c>
      <c r="J58" s="116"/>
      <c r="K58" s="116"/>
      <c r="L58" s="116"/>
      <c r="M58" s="116"/>
      <c r="N58" s="116"/>
      <c r="O58" s="116"/>
      <c r="P58" s="115" t="s">
        <v>94</v>
      </c>
      <c r="Q58" s="116"/>
      <c r="R58" s="116"/>
      <c r="S58" s="116"/>
      <c r="T58" s="116"/>
      <c r="U58" s="116"/>
      <c r="V58" s="116"/>
      <c r="W58" s="115" t="s">
        <v>94</v>
      </c>
      <c r="X58" s="115" t="s">
        <v>94</v>
      </c>
      <c r="Y58" s="115" t="s">
        <v>94</v>
      </c>
      <c r="Z58" s="115"/>
      <c r="AA58" s="115" t="s">
        <v>94</v>
      </c>
      <c r="AB58" s="115" t="s">
        <v>94</v>
      </c>
      <c r="AC58" s="115" t="s">
        <v>94</v>
      </c>
    </row>
    <row r="59" spans="2:31" ht="39.4" x14ac:dyDescent="0.45">
      <c r="B59" s="112" t="s">
        <v>95</v>
      </c>
      <c r="C59" s="55"/>
      <c r="D59" s="55"/>
      <c r="E59" s="40"/>
      <c r="F59" s="40"/>
      <c r="G59" s="40"/>
      <c r="H59" s="40"/>
      <c r="I59" s="40"/>
      <c r="J59" s="40"/>
      <c r="K59" s="40"/>
      <c r="L59" s="40"/>
      <c r="M59" s="40"/>
      <c r="N59" s="40"/>
      <c r="O59" s="40"/>
      <c r="P59" s="52" t="s">
        <v>96</v>
      </c>
      <c r="Q59" s="40"/>
      <c r="R59" s="40"/>
      <c r="S59" s="40"/>
      <c r="T59" s="40"/>
      <c r="U59" s="40"/>
      <c r="V59" s="40"/>
      <c r="W59" s="52" t="s">
        <v>108</v>
      </c>
      <c r="X59" s="40"/>
      <c r="Y59" s="110"/>
      <c r="Z59" s="37"/>
      <c r="AA59" s="37"/>
      <c r="AC59" s="52" t="s">
        <v>108</v>
      </c>
    </row>
    <row r="60" spans="2:31" ht="24.85" customHeight="1" x14ac:dyDescent="0.45">
      <c r="B60" s="117" t="s">
        <v>45</v>
      </c>
      <c r="C60" s="114"/>
      <c r="D60" s="114"/>
      <c r="E60" s="116"/>
      <c r="F60" s="116"/>
      <c r="G60" s="116"/>
      <c r="H60" s="116"/>
      <c r="I60" s="116"/>
      <c r="J60" s="116"/>
      <c r="K60" s="116"/>
      <c r="L60" s="116"/>
      <c r="M60" s="116"/>
      <c r="N60" s="116"/>
      <c r="O60" s="116"/>
      <c r="P60" s="116" t="s">
        <v>97</v>
      </c>
      <c r="Q60" s="116"/>
      <c r="R60" s="116"/>
      <c r="S60" s="116"/>
      <c r="T60" s="116"/>
      <c r="U60" s="116"/>
      <c r="V60" s="116"/>
      <c r="W60" s="116"/>
      <c r="X60" s="116"/>
      <c r="Y60" s="118"/>
      <c r="Z60" s="37"/>
      <c r="AA60" s="37"/>
      <c r="AC60" s="116" t="s">
        <v>97</v>
      </c>
    </row>
    <row r="61" spans="2:31" ht="24.85" customHeight="1" x14ac:dyDescent="0.45">
      <c r="B61" s="112" t="s">
        <v>44</v>
      </c>
      <c r="C61" s="55"/>
      <c r="D61" s="55"/>
      <c r="E61" s="40"/>
      <c r="F61" s="40"/>
      <c r="G61" s="40"/>
      <c r="H61" s="40"/>
      <c r="I61" s="40"/>
      <c r="J61" s="40"/>
      <c r="K61" s="40"/>
      <c r="L61" s="40"/>
      <c r="M61" s="40"/>
      <c r="N61" s="40"/>
      <c r="O61" s="40"/>
      <c r="P61" s="40" t="s">
        <v>98</v>
      </c>
      <c r="Q61" s="40"/>
      <c r="R61" s="40"/>
      <c r="S61" s="40"/>
      <c r="T61" s="40"/>
      <c r="U61" s="40"/>
      <c r="V61" s="40"/>
      <c r="W61" s="40"/>
      <c r="X61" s="40"/>
      <c r="Y61" s="110"/>
      <c r="Z61" s="37"/>
      <c r="AA61" s="37"/>
      <c r="AC61" s="40" t="s">
        <v>98</v>
      </c>
    </row>
    <row r="62" spans="2:31" ht="52.5" customHeight="1" x14ac:dyDescent="0.45">
      <c r="B62" s="117" t="s">
        <v>48</v>
      </c>
      <c r="C62" s="114"/>
      <c r="D62" s="114"/>
      <c r="E62" s="116"/>
      <c r="F62" s="116"/>
      <c r="G62" s="116"/>
      <c r="H62" s="116"/>
      <c r="I62" s="116"/>
      <c r="J62" s="116"/>
      <c r="K62" s="116"/>
      <c r="L62" s="116"/>
      <c r="M62" s="116"/>
      <c r="N62" s="116"/>
      <c r="O62" s="116"/>
      <c r="P62" s="115" t="s">
        <v>99</v>
      </c>
      <c r="Q62" s="116"/>
      <c r="R62" s="116"/>
      <c r="S62" s="116"/>
      <c r="T62" s="116"/>
      <c r="U62" s="116"/>
      <c r="V62" s="116"/>
      <c r="W62" s="116"/>
      <c r="X62" s="116"/>
      <c r="Y62" s="118"/>
      <c r="Z62" s="37"/>
      <c r="AA62" s="37"/>
      <c r="AC62" s="133" t="s">
        <v>122</v>
      </c>
      <c r="AD62" s="133"/>
    </row>
    <row r="63" spans="2:31" ht="30.75" customHeight="1" x14ac:dyDescent="0.45">
      <c r="B63" s="112" t="s">
        <v>103</v>
      </c>
      <c r="C63" s="55"/>
      <c r="D63" s="55"/>
      <c r="E63" s="40"/>
      <c r="F63" s="40"/>
      <c r="G63" s="40"/>
      <c r="H63" s="40"/>
      <c r="I63" s="40"/>
      <c r="J63" s="40"/>
      <c r="K63" s="40"/>
      <c r="L63" s="40"/>
      <c r="M63" s="40"/>
      <c r="N63" s="40"/>
      <c r="O63" s="40"/>
      <c r="P63" s="40"/>
      <c r="Q63" s="40"/>
      <c r="R63" s="40"/>
      <c r="S63" s="40"/>
      <c r="T63" s="40"/>
      <c r="U63" s="40"/>
      <c r="V63" s="40"/>
      <c r="W63" s="130" t="s">
        <v>123</v>
      </c>
      <c r="X63" s="130"/>
      <c r="Y63" s="130"/>
      <c r="Z63" s="130"/>
      <c r="AA63" s="130"/>
      <c r="AB63" s="130"/>
      <c r="AC63" s="130"/>
      <c r="AD63" s="130"/>
    </row>
    <row r="64" spans="2:31" ht="30.75" customHeight="1" x14ac:dyDescent="0.45">
      <c r="B64" s="117" t="s">
        <v>100</v>
      </c>
      <c r="C64" s="114"/>
      <c r="D64" s="114"/>
      <c r="E64" s="116"/>
      <c r="F64" s="116"/>
      <c r="G64" s="116"/>
      <c r="H64" s="116"/>
      <c r="I64" s="116"/>
      <c r="J64" s="116"/>
      <c r="K64" s="116"/>
      <c r="L64" s="116"/>
      <c r="M64" s="116"/>
      <c r="N64" s="116"/>
      <c r="O64" s="116"/>
      <c r="P64" s="116"/>
      <c r="Q64" s="116"/>
      <c r="R64" s="116"/>
      <c r="S64" s="116"/>
      <c r="T64" s="116"/>
      <c r="U64" s="116"/>
      <c r="V64" s="116"/>
      <c r="W64" s="133" t="s">
        <v>101</v>
      </c>
      <c r="X64" s="133"/>
      <c r="Y64" s="133"/>
      <c r="Z64" s="133"/>
      <c r="AA64" s="133"/>
      <c r="AB64" s="133"/>
      <c r="AC64" s="133"/>
      <c r="AD64" s="133"/>
    </row>
    <row r="65" spans="2:30" ht="23.35" customHeight="1" x14ac:dyDescent="0.45">
      <c r="B65" s="112" t="s">
        <v>64</v>
      </c>
      <c r="C65" s="55"/>
      <c r="D65" s="55"/>
      <c r="E65" s="40"/>
      <c r="F65" s="40"/>
      <c r="G65" s="40"/>
      <c r="H65" s="40"/>
      <c r="I65" s="40"/>
      <c r="J65" s="40"/>
      <c r="K65" s="40"/>
      <c r="L65" s="40"/>
      <c r="M65" s="40"/>
      <c r="N65" s="40"/>
      <c r="O65" s="40"/>
      <c r="P65" s="40"/>
      <c r="Q65" s="40"/>
      <c r="R65" s="40"/>
      <c r="S65" s="40"/>
      <c r="T65" s="40"/>
      <c r="U65" s="40"/>
      <c r="V65" s="40"/>
      <c r="W65" s="125" t="s">
        <v>102</v>
      </c>
      <c r="X65" s="125"/>
      <c r="Y65" s="125"/>
      <c r="Z65" s="125"/>
      <c r="AA65" s="125"/>
      <c r="AB65" s="125"/>
      <c r="AC65" s="125"/>
      <c r="AD65" s="125"/>
    </row>
    <row r="66" spans="2:30" ht="23.35" customHeight="1" x14ac:dyDescent="0.45">
      <c r="B66" s="117" t="s">
        <v>65</v>
      </c>
      <c r="C66" s="114"/>
      <c r="D66" s="114"/>
      <c r="E66" s="116"/>
      <c r="F66" s="116"/>
      <c r="G66" s="116"/>
      <c r="H66" s="116"/>
      <c r="I66" s="116"/>
      <c r="J66" s="116"/>
      <c r="K66" s="116"/>
      <c r="L66" s="116"/>
      <c r="M66" s="116"/>
      <c r="N66" s="116"/>
      <c r="O66" s="116"/>
      <c r="P66" s="116"/>
      <c r="Q66" s="116"/>
      <c r="R66" s="116"/>
      <c r="S66" s="116"/>
      <c r="T66" s="116"/>
      <c r="U66" s="116"/>
      <c r="V66" s="116"/>
      <c r="W66" s="146" t="s">
        <v>105</v>
      </c>
      <c r="X66" s="146"/>
      <c r="Y66" s="146"/>
      <c r="Z66" s="146"/>
      <c r="AA66" s="146"/>
      <c r="AB66" s="146"/>
      <c r="AC66" s="146"/>
      <c r="AD66" s="146"/>
    </row>
    <row r="67" spans="2:30" ht="30.75" customHeight="1" x14ac:dyDescent="0.45">
      <c r="B67" s="112" t="s">
        <v>66</v>
      </c>
      <c r="C67" s="55"/>
      <c r="D67" s="55"/>
      <c r="E67" s="40"/>
      <c r="F67" s="40"/>
      <c r="G67" s="40"/>
      <c r="H67" s="40"/>
      <c r="I67" s="40"/>
      <c r="J67" s="40"/>
      <c r="K67" s="40"/>
      <c r="L67" s="40"/>
      <c r="M67" s="40"/>
      <c r="N67" s="40"/>
      <c r="O67" s="40"/>
      <c r="P67" s="40"/>
      <c r="Q67" s="40"/>
      <c r="R67" s="40"/>
      <c r="S67" s="40"/>
      <c r="T67" s="40"/>
      <c r="U67" s="40"/>
      <c r="V67" s="40"/>
      <c r="W67" s="130" t="s">
        <v>106</v>
      </c>
      <c r="X67" s="130"/>
      <c r="Y67" s="130"/>
      <c r="Z67" s="130"/>
      <c r="AA67" s="130"/>
      <c r="AB67" s="130"/>
      <c r="AC67" s="130"/>
      <c r="AD67" s="130"/>
    </row>
    <row r="68" spans="2:30" x14ac:dyDescent="0.45">
      <c r="B68" s="112" t="s">
        <v>107</v>
      </c>
      <c r="F68" s="37"/>
      <c r="G68" s="37"/>
      <c r="H68" s="37"/>
      <c r="I68" s="37"/>
      <c r="J68" s="37"/>
      <c r="K68" s="37"/>
      <c r="L68" s="37"/>
      <c r="M68" s="37"/>
      <c r="N68" s="37"/>
      <c r="O68" s="37"/>
      <c r="P68" s="37"/>
      <c r="Q68" s="37"/>
      <c r="R68" s="37"/>
      <c r="S68" s="37"/>
      <c r="T68" s="37"/>
      <c r="U68" s="37"/>
      <c r="V68" s="37"/>
      <c r="W68" s="37"/>
      <c r="X68" s="37"/>
      <c r="Y68" s="37"/>
      <c r="Z68" s="37"/>
      <c r="AA68" s="37"/>
    </row>
    <row r="69" spans="2:30" x14ac:dyDescent="0.45">
      <c r="F69" s="37"/>
      <c r="G69" s="37"/>
      <c r="H69" s="37"/>
      <c r="I69" s="37"/>
      <c r="J69" s="37"/>
      <c r="K69" s="37"/>
      <c r="L69" s="37"/>
      <c r="M69" s="37"/>
      <c r="N69" s="37"/>
      <c r="O69" s="37"/>
      <c r="P69" s="37"/>
      <c r="Q69" s="37"/>
      <c r="R69" s="37"/>
      <c r="S69" s="37"/>
      <c r="T69" s="37"/>
      <c r="U69" s="37"/>
      <c r="V69" s="37"/>
      <c r="W69" s="37"/>
      <c r="X69" s="37"/>
      <c r="Y69" s="37"/>
      <c r="Z69" s="37"/>
      <c r="AA69" s="37"/>
    </row>
    <row r="70" spans="2:30" x14ac:dyDescent="0.45">
      <c r="E70" s="37"/>
      <c r="F70" s="37"/>
      <c r="G70" s="37"/>
      <c r="H70" s="37"/>
      <c r="I70" s="37"/>
      <c r="J70" s="37"/>
      <c r="K70" s="37"/>
      <c r="L70" s="37"/>
      <c r="M70" s="37"/>
      <c r="N70" s="37"/>
      <c r="O70" s="37"/>
      <c r="P70" s="37"/>
      <c r="Q70" s="37"/>
      <c r="R70" s="37"/>
      <c r="S70" s="37"/>
      <c r="T70" s="37"/>
      <c r="U70" s="37"/>
      <c r="V70" s="37"/>
      <c r="W70" s="37"/>
      <c r="X70" s="37"/>
      <c r="Y70" s="37"/>
      <c r="Z70" s="37"/>
      <c r="AA70" s="37"/>
    </row>
    <row r="71" spans="2:30" x14ac:dyDescent="0.45">
      <c r="E71" s="37"/>
      <c r="F71" s="37"/>
      <c r="G71" s="37"/>
      <c r="H71" s="37"/>
      <c r="I71" s="37"/>
      <c r="J71" s="37"/>
      <c r="K71" s="37"/>
      <c r="L71" s="37"/>
      <c r="M71" s="37"/>
      <c r="N71" s="37"/>
      <c r="O71" s="37"/>
      <c r="P71" s="37"/>
      <c r="Q71" s="37"/>
      <c r="R71" s="37"/>
      <c r="S71" s="37"/>
      <c r="T71" s="37"/>
      <c r="U71" s="37"/>
      <c r="V71" s="37"/>
      <c r="W71" s="37"/>
      <c r="X71" s="37"/>
      <c r="Y71" s="37"/>
      <c r="Z71" s="37"/>
      <c r="AA71" s="37"/>
    </row>
    <row r="72" spans="2:30" x14ac:dyDescent="0.45">
      <c r="E72" s="37"/>
      <c r="F72" s="37"/>
      <c r="G72" s="37"/>
      <c r="H72" s="37"/>
      <c r="I72" s="37"/>
      <c r="J72" s="37"/>
      <c r="K72" s="37"/>
      <c r="L72" s="37"/>
      <c r="M72" s="37"/>
      <c r="N72" s="37"/>
      <c r="O72" s="37"/>
      <c r="P72" s="37"/>
      <c r="Q72" s="37"/>
      <c r="R72" s="37"/>
      <c r="S72" s="37"/>
      <c r="T72" s="37"/>
      <c r="U72" s="37"/>
      <c r="V72" s="37"/>
      <c r="W72" s="37"/>
      <c r="X72" s="37"/>
      <c r="Y72" s="37"/>
      <c r="Z72" s="37"/>
      <c r="AA72" s="37"/>
    </row>
    <row r="73" spans="2:30" x14ac:dyDescent="0.45">
      <c r="E73" s="37"/>
      <c r="F73" s="37"/>
      <c r="G73" s="37"/>
      <c r="H73" s="37"/>
      <c r="I73" s="37"/>
      <c r="J73" s="37"/>
      <c r="K73" s="37"/>
      <c r="L73" s="37"/>
      <c r="M73" s="37"/>
      <c r="N73" s="37"/>
      <c r="O73" s="37"/>
      <c r="P73" s="37"/>
      <c r="Q73" s="37"/>
      <c r="R73" s="37"/>
      <c r="S73" s="37"/>
      <c r="T73" s="37"/>
      <c r="U73" s="37"/>
      <c r="V73" s="37"/>
      <c r="W73" s="37"/>
      <c r="X73" s="37"/>
      <c r="Y73" s="37"/>
      <c r="Z73" s="37"/>
      <c r="AA73" s="37"/>
    </row>
    <row r="74" spans="2:30" x14ac:dyDescent="0.45">
      <c r="E74" s="37"/>
      <c r="F74" s="37"/>
      <c r="G74" s="37"/>
      <c r="H74" s="37"/>
      <c r="I74" s="37"/>
      <c r="J74" s="37"/>
      <c r="K74" s="37"/>
      <c r="L74" s="37"/>
      <c r="M74" s="37"/>
      <c r="N74" s="37"/>
      <c r="O74" s="37"/>
      <c r="P74" s="37"/>
      <c r="Q74" s="37"/>
      <c r="R74" s="37"/>
      <c r="S74" s="37"/>
      <c r="T74" s="37"/>
      <c r="U74" s="37"/>
      <c r="V74" s="37"/>
      <c r="W74" s="37"/>
      <c r="X74" s="37"/>
      <c r="Y74" s="37"/>
      <c r="Z74" s="37"/>
      <c r="AA74" s="37"/>
    </row>
    <row r="75" spans="2:30" x14ac:dyDescent="0.45">
      <c r="E75" s="37"/>
      <c r="F75" s="37"/>
      <c r="G75" s="37"/>
      <c r="H75" s="37"/>
      <c r="I75" s="37"/>
      <c r="J75" s="37"/>
      <c r="K75" s="37"/>
      <c r="L75" s="37"/>
      <c r="M75" s="37"/>
      <c r="N75" s="37"/>
      <c r="O75" s="37"/>
      <c r="P75" s="37"/>
      <c r="Q75" s="37"/>
      <c r="R75" s="37"/>
      <c r="S75" s="37"/>
      <c r="T75" s="37"/>
      <c r="U75" s="37"/>
      <c r="V75" s="37"/>
      <c r="W75" s="37"/>
      <c r="X75" s="37"/>
      <c r="Y75" s="37"/>
      <c r="Z75" s="37"/>
      <c r="AA75" s="37"/>
    </row>
    <row r="76" spans="2:30" x14ac:dyDescent="0.45">
      <c r="E76" s="37"/>
      <c r="F76" s="37"/>
      <c r="G76" s="37"/>
      <c r="H76" s="37"/>
      <c r="I76" s="37"/>
      <c r="J76" s="37"/>
      <c r="K76" s="37"/>
      <c r="L76" s="37"/>
      <c r="M76" s="37"/>
      <c r="N76" s="37"/>
      <c r="O76" s="37"/>
      <c r="P76" s="37"/>
      <c r="Q76" s="37"/>
      <c r="R76" s="37"/>
      <c r="S76" s="37"/>
      <c r="T76" s="37"/>
      <c r="U76" s="37"/>
      <c r="V76" s="37"/>
      <c r="W76" s="37"/>
      <c r="X76" s="37"/>
      <c r="Y76" s="37"/>
      <c r="Z76" s="37"/>
      <c r="AA76" s="37"/>
    </row>
    <row r="77" spans="2:30" x14ac:dyDescent="0.45">
      <c r="E77" s="37"/>
      <c r="F77" s="37"/>
      <c r="G77" s="37"/>
      <c r="H77" s="37"/>
      <c r="I77" s="37"/>
      <c r="J77" s="37"/>
      <c r="K77" s="37"/>
      <c r="L77" s="37"/>
      <c r="M77" s="37"/>
      <c r="N77" s="37"/>
      <c r="O77" s="37"/>
      <c r="P77" s="37"/>
      <c r="Q77" s="37"/>
      <c r="R77" s="37"/>
      <c r="S77" s="37"/>
      <c r="T77" s="37"/>
      <c r="U77" s="37"/>
      <c r="V77" s="37"/>
      <c r="W77" s="37"/>
      <c r="X77" s="37"/>
      <c r="Y77" s="37"/>
      <c r="Z77" s="37"/>
      <c r="AA77" s="37"/>
    </row>
    <row r="78" spans="2:30" x14ac:dyDescent="0.45">
      <c r="E78" s="37"/>
      <c r="F78" s="37"/>
      <c r="G78" s="37"/>
      <c r="H78" s="37"/>
      <c r="I78" s="37"/>
      <c r="J78" s="37"/>
      <c r="K78" s="37"/>
      <c r="L78" s="37"/>
      <c r="M78" s="37"/>
      <c r="N78" s="37"/>
      <c r="O78" s="37"/>
      <c r="P78" s="37"/>
      <c r="Q78" s="37"/>
      <c r="R78" s="37"/>
      <c r="S78" s="37"/>
      <c r="T78" s="37"/>
      <c r="U78" s="37"/>
      <c r="V78" s="37"/>
      <c r="W78" s="37"/>
      <c r="X78" s="37"/>
      <c r="Y78" s="37"/>
      <c r="Z78" s="37"/>
      <c r="AA78" s="37"/>
    </row>
    <row r="79" spans="2:30" x14ac:dyDescent="0.45">
      <c r="E79" s="37"/>
      <c r="F79" s="37"/>
      <c r="G79" s="37"/>
      <c r="H79" s="37"/>
      <c r="I79" s="37"/>
      <c r="J79" s="37"/>
      <c r="K79" s="37"/>
      <c r="L79" s="37"/>
      <c r="M79" s="37"/>
      <c r="N79" s="37"/>
      <c r="O79" s="37"/>
      <c r="P79" s="37"/>
      <c r="Q79" s="37"/>
      <c r="R79" s="37"/>
      <c r="S79" s="37"/>
      <c r="T79" s="37"/>
      <c r="U79" s="37"/>
      <c r="V79" s="37"/>
      <c r="W79" s="37"/>
      <c r="X79" s="37"/>
      <c r="Y79" s="37"/>
      <c r="Z79" s="37"/>
      <c r="AA79" s="37"/>
    </row>
    <row r="80" spans="2:30" x14ac:dyDescent="0.45">
      <c r="E80" s="37"/>
      <c r="F80" s="37"/>
      <c r="G80" s="37"/>
      <c r="H80" s="37"/>
      <c r="I80" s="37"/>
      <c r="J80" s="37"/>
      <c r="K80" s="37"/>
      <c r="L80" s="37"/>
      <c r="M80" s="37"/>
      <c r="N80" s="37"/>
      <c r="O80" s="37"/>
      <c r="P80" s="37"/>
      <c r="Q80" s="37"/>
      <c r="R80" s="37"/>
      <c r="S80" s="37"/>
      <c r="T80" s="37"/>
      <c r="U80" s="37"/>
      <c r="V80" s="37"/>
      <c r="W80" s="37"/>
      <c r="X80" s="37"/>
      <c r="Y80" s="37"/>
      <c r="Z80" s="37"/>
      <c r="AA80" s="37"/>
    </row>
    <row r="81" spans="5:27" x14ac:dyDescent="0.45">
      <c r="E81" s="37"/>
      <c r="F81" s="37"/>
      <c r="G81" s="37"/>
      <c r="H81" s="37"/>
      <c r="I81" s="37"/>
      <c r="J81" s="37"/>
      <c r="K81" s="37"/>
      <c r="L81" s="37"/>
      <c r="M81" s="37"/>
      <c r="N81" s="37"/>
      <c r="O81" s="37"/>
      <c r="P81" s="37"/>
      <c r="Q81" s="37"/>
      <c r="R81" s="37"/>
      <c r="S81" s="37"/>
      <c r="T81" s="37"/>
      <c r="U81" s="37"/>
      <c r="V81" s="37"/>
      <c r="W81" s="37"/>
      <c r="X81" s="37"/>
      <c r="Y81" s="37"/>
      <c r="Z81" s="37"/>
      <c r="AA81" s="37"/>
    </row>
    <row r="82" spans="5:27" x14ac:dyDescent="0.45">
      <c r="J82"/>
      <c r="Q82"/>
      <c r="T82"/>
      <c r="X82"/>
      <c r="Y82"/>
    </row>
    <row r="83" spans="5:27" x14ac:dyDescent="0.45">
      <c r="J83"/>
      <c r="Q83"/>
      <c r="T83"/>
      <c r="X83"/>
      <c r="Y83"/>
    </row>
    <row r="84" spans="5:27" x14ac:dyDescent="0.45">
      <c r="G84" s="37"/>
      <c r="H84" s="37"/>
      <c r="I84" s="37"/>
      <c r="K84" s="37"/>
      <c r="L84" s="37"/>
      <c r="M84" s="37"/>
      <c r="N84" s="37"/>
      <c r="O84" s="37"/>
      <c r="P84" s="37"/>
      <c r="R84" s="37"/>
      <c r="S84" s="37"/>
      <c r="T84" s="53"/>
      <c r="U84" s="37"/>
    </row>
    <row r="85" spans="5:27" x14ac:dyDescent="0.45">
      <c r="G85" s="37"/>
      <c r="H85" s="37"/>
      <c r="I85" s="37"/>
      <c r="K85" s="37"/>
      <c r="L85" s="37"/>
      <c r="M85" s="37"/>
      <c r="N85" s="37"/>
      <c r="O85" s="37"/>
      <c r="P85" s="37"/>
      <c r="R85" s="37"/>
      <c r="S85" s="37"/>
      <c r="T85" s="53"/>
      <c r="U85" s="37"/>
    </row>
    <row r="86" spans="5:27" x14ac:dyDescent="0.45">
      <c r="G86" s="37"/>
      <c r="H86" s="37"/>
      <c r="I86" s="37"/>
      <c r="K86" s="37"/>
      <c r="L86" s="37"/>
      <c r="M86" s="37"/>
      <c r="N86" s="37"/>
      <c r="O86" s="37"/>
      <c r="P86" s="37"/>
      <c r="R86" s="37"/>
      <c r="S86" s="37"/>
      <c r="T86" s="53"/>
      <c r="U86" s="37"/>
    </row>
    <row r="87" spans="5:27" x14ac:dyDescent="0.45">
      <c r="G87" s="37"/>
      <c r="H87" s="37"/>
      <c r="I87" s="37"/>
      <c r="K87" s="37"/>
      <c r="L87" s="37"/>
      <c r="M87" s="37"/>
      <c r="N87" s="37"/>
      <c r="O87" s="37"/>
      <c r="P87" s="37"/>
      <c r="R87" s="37"/>
      <c r="S87" s="37"/>
      <c r="T87" s="53"/>
      <c r="U87" s="37"/>
    </row>
    <row r="88" spans="5:27" x14ac:dyDescent="0.45">
      <c r="G88" s="37"/>
      <c r="H88" s="37"/>
      <c r="I88" s="37"/>
      <c r="K88" s="37"/>
      <c r="L88" s="37"/>
      <c r="M88" s="37"/>
      <c r="N88" s="37"/>
      <c r="O88" s="37"/>
      <c r="P88" s="37"/>
      <c r="R88" s="37"/>
      <c r="S88" s="37"/>
      <c r="T88" s="53"/>
      <c r="U88" s="37"/>
    </row>
    <row r="89" spans="5:27" x14ac:dyDescent="0.45">
      <c r="G89" s="37"/>
      <c r="H89" s="37"/>
      <c r="I89" s="37"/>
      <c r="K89" s="37"/>
      <c r="L89" s="37"/>
      <c r="M89" s="37"/>
      <c r="N89" s="37"/>
      <c r="O89" s="37"/>
      <c r="P89" s="37"/>
      <c r="R89" s="37"/>
      <c r="S89" s="37"/>
      <c r="T89" s="53"/>
      <c r="U89" s="37"/>
    </row>
  </sheetData>
  <mergeCells count="21">
    <mergeCell ref="AA4:AC4"/>
    <mergeCell ref="P51:AD51"/>
    <mergeCell ref="P49:AD49"/>
    <mergeCell ref="P50:AD50"/>
    <mergeCell ref="U4:W4"/>
    <mergeCell ref="U53:W53"/>
    <mergeCell ref="P52:AD52"/>
    <mergeCell ref="AC53:AE53"/>
    <mergeCell ref="AC62:AD62"/>
    <mergeCell ref="W63:AD63"/>
    <mergeCell ref="W64:AD64"/>
    <mergeCell ref="W65:AD65"/>
    <mergeCell ref="W66:AD66"/>
    <mergeCell ref="W67:AD67"/>
    <mergeCell ref="N3:P3"/>
    <mergeCell ref="G4:I4"/>
    <mergeCell ref="A3:B3"/>
    <mergeCell ref="N53:P53"/>
    <mergeCell ref="G53:K53"/>
    <mergeCell ref="C4:E4"/>
    <mergeCell ref="N4:P4"/>
  </mergeCells>
  <hyperlinks>
    <hyperlink ref="P52:W52" r:id="rId1" display="Pension Funding Council at PFC 2021-2023 contribution rates  " xr:uid="{BDECE7EE-7404-4765-B2C7-C93C2BFC5ECE}"/>
  </hyperlinks>
  <pageMargins left="0.7" right="0.7" top="0.75" bottom="0.75" header="0.3" footer="0.3"/>
  <pageSetup scale="86" orientation="landscape" r:id="rId2"/>
  <rowBreaks count="2" manualBreakCount="2">
    <brk id="47" max="16383" man="1"/>
    <brk id="64" max="16383" man="1"/>
  </rowBreaks>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AD5A-E757-4F95-B9DA-14C7CE4EFFCF}">
  <dimension ref="A1:E68"/>
  <sheetViews>
    <sheetView workbookViewId="0">
      <selection activeCell="B37" sqref="B37"/>
    </sheetView>
  </sheetViews>
  <sheetFormatPr defaultRowHeight="14.25" x14ac:dyDescent="0.45"/>
  <cols>
    <col min="1" max="1" width="1.59765625" customWidth="1"/>
    <col min="2" max="2" width="42.19921875" customWidth="1"/>
    <col min="3" max="3" width="20" customWidth="1"/>
    <col min="4" max="4" width="16.796875" customWidth="1"/>
    <col min="5" max="5" width="13.59765625" customWidth="1"/>
  </cols>
  <sheetData>
    <row r="1" spans="1:5" ht="18" x14ac:dyDescent="0.55000000000000004">
      <c r="A1" s="12" t="s">
        <v>21</v>
      </c>
    </row>
    <row r="2" spans="1:5" ht="18" x14ac:dyDescent="0.55000000000000004">
      <c r="A2" s="12" t="s">
        <v>0</v>
      </c>
      <c r="B2" s="12"/>
    </row>
    <row r="3" spans="1:5" ht="24.75" customHeight="1" x14ac:dyDescent="0.45">
      <c r="A3" s="136" t="s">
        <v>22</v>
      </c>
      <c r="B3" s="136"/>
    </row>
    <row r="4" spans="1:5" ht="15.75" x14ac:dyDescent="0.45">
      <c r="A4" s="10" t="s">
        <v>1</v>
      </c>
      <c r="B4" s="2"/>
      <c r="C4" s="135" t="s">
        <v>41</v>
      </c>
      <c r="D4" s="135"/>
      <c r="E4" s="135"/>
    </row>
    <row r="5" spans="1:5" ht="0.95" customHeight="1" x14ac:dyDescent="0.45">
      <c r="A5" s="4"/>
      <c r="B5" s="8" t="s">
        <v>26</v>
      </c>
      <c r="C5" s="64">
        <v>827609</v>
      </c>
      <c r="D5" s="64">
        <v>909759</v>
      </c>
      <c r="E5" s="65">
        <v>1737368</v>
      </c>
    </row>
    <row r="6" spans="1:5" x14ac:dyDescent="0.45">
      <c r="A6" s="6" t="s">
        <v>2</v>
      </c>
      <c r="B6" s="7"/>
      <c r="C6" s="79" t="s">
        <v>23</v>
      </c>
      <c r="D6" s="79" t="s">
        <v>24</v>
      </c>
      <c r="E6" s="79" t="s">
        <v>18</v>
      </c>
    </row>
    <row r="7" spans="1:5" x14ac:dyDescent="0.45">
      <c r="A7" s="17" t="s">
        <v>3</v>
      </c>
      <c r="B7" s="17"/>
      <c r="C7" s="19">
        <v>906052</v>
      </c>
      <c r="D7" s="19">
        <v>906130</v>
      </c>
      <c r="E7" s="43">
        <v>1812182</v>
      </c>
    </row>
    <row r="8" spans="1:5" x14ac:dyDescent="0.45">
      <c r="A8" s="17"/>
      <c r="B8" s="15" t="s">
        <v>25</v>
      </c>
      <c r="C8" s="18">
        <f>6154+123+23</f>
        <v>6300</v>
      </c>
      <c r="D8" s="18">
        <f>14253+284+54</f>
        <v>14591</v>
      </c>
      <c r="E8" s="43">
        <f>SUM(C8+D8)</f>
        <v>20891</v>
      </c>
    </row>
    <row r="9" spans="1:5" hidden="1" x14ac:dyDescent="0.45">
      <c r="A9" s="15"/>
      <c r="B9" s="16" t="s">
        <v>5</v>
      </c>
      <c r="C9" s="22">
        <v>370</v>
      </c>
      <c r="D9" s="18">
        <v>517</v>
      </c>
      <c r="E9" s="43">
        <f t="shared" ref="E9:E13" si="0">SUM(C9+D9)</f>
        <v>887</v>
      </c>
    </row>
    <row r="10" spans="1:5" hidden="1" x14ac:dyDescent="0.45">
      <c r="A10" s="15"/>
      <c r="B10" s="15" t="s">
        <v>6</v>
      </c>
      <c r="C10" s="22">
        <v>566</v>
      </c>
      <c r="D10" s="18">
        <v>960</v>
      </c>
      <c r="E10" s="43">
        <f t="shared" si="0"/>
        <v>1526</v>
      </c>
    </row>
    <row r="11" spans="1:5" hidden="1" x14ac:dyDescent="0.45">
      <c r="A11" s="16"/>
      <c r="B11" s="38" t="s">
        <v>43</v>
      </c>
      <c r="C11" s="22">
        <f>-4813-121-4</f>
        <v>-4938</v>
      </c>
      <c r="D11" s="22">
        <f>-4901-123-24</f>
        <v>-5048</v>
      </c>
      <c r="E11" s="43">
        <f t="shared" si="0"/>
        <v>-9986</v>
      </c>
    </row>
    <row r="12" spans="1:5" hidden="1" x14ac:dyDescent="0.45">
      <c r="A12" s="16"/>
      <c r="B12" s="38" t="s">
        <v>8</v>
      </c>
      <c r="C12" s="22">
        <f>1944+42+4</f>
        <v>1990</v>
      </c>
      <c r="D12" s="22">
        <f>1944+42+4</f>
        <v>1990</v>
      </c>
      <c r="E12" s="43">
        <f t="shared" si="0"/>
        <v>3980</v>
      </c>
    </row>
    <row r="13" spans="1:5" x14ac:dyDescent="0.45">
      <c r="A13" s="17" t="s">
        <v>56</v>
      </c>
      <c r="B13" s="15"/>
      <c r="C13" s="34">
        <f>SUM(C8:C12)</f>
        <v>4288</v>
      </c>
      <c r="D13" s="34">
        <f>SUM(D8:D12)</f>
        <v>13010</v>
      </c>
      <c r="E13" s="43">
        <f t="shared" si="0"/>
        <v>17298</v>
      </c>
    </row>
    <row r="14" spans="1:5" x14ac:dyDescent="0.45">
      <c r="A14" s="17" t="s">
        <v>57</v>
      </c>
      <c r="B14" s="17"/>
      <c r="C14" s="76">
        <f>C7+C13</f>
        <v>910340</v>
      </c>
      <c r="D14" s="76">
        <f>D7+D13</f>
        <v>919140</v>
      </c>
      <c r="E14" s="43">
        <f>SUM(C14+D14)</f>
        <v>1829480</v>
      </c>
    </row>
    <row r="15" spans="1:5" x14ac:dyDescent="0.45">
      <c r="A15" s="15"/>
      <c r="B15" s="58" t="s">
        <v>10</v>
      </c>
      <c r="C15" s="22"/>
      <c r="D15" s="22"/>
      <c r="E15" s="22"/>
    </row>
    <row r="16" spans="1:5" hidden="1" x14ac:dyDescent="0.45">
      <c r="A16" s="16"/>
      <c r="B16" s="95" t="s">
        <v>49</v>
      </c>
      <c r="C16" s="22">
        <f>-400-16</f>
        <v>-416</v>
      </c>
      <c r="D16" s="22">
        <f>-400-16</f>
        <v>-416</v>
      </c>
      <c r="E16" s="43">
        <f>SUM(C16+D16)</f>
        <v>-832</v>
      </c>
    </row>
    <row r="17" spans="1:5" hidden="1" x14ac:dyDescent="0.45">
      <c r="A17" s="16"/>
      <c r="B17" s="95" t="s">
        <v>29</v>
      </c>
      <c r="C17" s="22">
        <f>-5677-98-13</f>
        <v>-5788</v>
      </c>
      <c r="D17" s="44">
        <f>9760+169+23</f>
        <v>9952</v>
      </c>
      <c r="E17" s="43">
        <f t="shared" ref="E17:E20" si="1">SUM(C17+D17)</f>
        <v>4164</v>
      </c>
    </row>
    <row r="18" spans="1:5" hidden="1" x14ac:dyDescent="0.45">
      <c r="A18" s="16"/>
      <c r="B18" s="95" t="s">
        <v>50</v>
      </c>
      <c r="C18" s="22">
        <f>-1550-43</f>
        <v>-1593</v>
      </c>
      <c r="D18" s="44">
        <f>2665+75</f>
        <v>2740</v>
      </c>
      <c r="E18" s="43">
        <f t="shared" si="1"/>
        <v>1147</v>
      </c>
    </row>
    <row r="19" spans="1:5" hidden="1" x14ac:dyDescent="0.45">
      <c r="A19" s="15"/>
      <c r="B19" s="62" t="s">
        <v>31</v>
      </c>
      <c r="C19" s="21">
        <v>-3444</v>
      </c>
      <c r="D19" s="21">
        <v>-3463</v>
      </c>
      <c r="E19" s="43">
        <f t="shared" si="1"/>
        <v>-6907</v>
      </c>
    </row>
    <row r="20" spans="1:5" x14ac:dyDescent="0.45">
      <c r="A20" s="15"/>
      <c r="B20" s="62" t="s">
        <v>59</v>
      </c>
      <c r="C20" s="20">
        <f>SUM(C16:C19)</f>
        <v>-11241</v>
      </c>
      <c r="D20" s="20">
        <f>SUM(D16:D19)</f>
        <v>8813</v>
      </c>
      <c r="E20" s="43">
        <f t="shared" si="1"/>
        <v>-2428</v>
      </c>
    </row>
    <row r="21" spans="1:5" ht="6.75" customHeight="1" x14ac:dyDescent="0.45">
      <c r="A21" s="15"/>
      <c r="B21" s="62"/>
      <c r="C21" s="20"/>
      <c r="D21" s="20"/>
      <c r="E21" s="47"/>
    </row>
    <row r="22" spans="1:5" x14ac:dyDescent="0.45">
      <c r="A22" s="15"/>
      <c r="B22" s="63" t="s">
        <v>13</v>
      </c>
      <c r="C22" s="20"/>
      <c r="D22" s="20"/>
      <c r="E22" s="47"/>
    </row>
    <row r="23" spans="1:5" x14ac:dyDescent="0.45">
      <c r="A23" s="15"/>
      <c r="B23" s="62" t="s">
        <v>34</v>
      </c>
      <c r="C23" s="20">
        <v>0</v>
      </c>
      <c r="D23" s="20">
        <v>0</v>
      </c>
      <c r="E23" s="43">
        <f>SUM(C23+D23)</f>
        <v>0</v>
      </c>
    </row>
    <row r="24" spans="1:5" x14ac:dyDescent="0.45">
      <c r="A24" s="15"/>
      <c r="B24" s="62" t="s">
        <v>35</v>
      </c>
      <c r="C24" s="20">
        <v>0</v>
      </c>
      <c r="D24" s="20">
        <v>0</v>
      </c>
      <c r="E24" s="43">
        <f t="shared" ref="E24:E34" si="2">SUM(C24+D24)</f>
        <v>0</v>
      </c>
    </row>
    <row r="25" spans="1:5" x14ac:dyDescent="0.45">
      <c r="A25" s="15"/>
      <c r="B25" s="38" t="s">
        <v>36</v>
      </c>
      <c r="C25" s="22">
        <v>5000</v>
      </c>
      <c r="D25" s="22">
        <v>5000</v>
      </c>
      <c r="E25" s="43">
        <f t="shared" si="2"/>
        <v>10000</v>
      </c>
    </row>
    <row r="26" spans="1:5" x14ac:dyDescent="0.45">
      <c r="A26" s="16"/>
      <c r="B26" s="16" t="s">
        <v>37</v>
      </c>
      <c r="C26" s="22">
        <v>0</v>
      </c>
      <c r="D26" s="22">
        <v>0</v>
      </c>
      <c r="E26" s="43">
        <f t="shared" si="2"/>
        <v>0</v>
      </c>
    </row>
    <row r="27" spans="1:5" x14ac:dyDescent="0.45">
      <c r="A27" s="16"/>
      <c r="B27" s="16" t="s">
        <v>46</v>
      </c>
      <c r="C27" s="22">
        <v>1000</v>
      </c>
      <c r="D27" s="22">
        <v>1000</v>
      </c>
      <c r="E27" s="43">
        <f t="shared" si="2"/>
        <v>2000</v>
      </c>
    </row>
    <row r="28" spans="1:5" x14ac:dyDescent="0.45">
      <c r="A28" s="16"/>
      <c r="B28" s="16" t="s">
        <v>47</v>
      </c>
      <c r="C28" s="22">
        <v>1000</v>
      </c>
      <c r="D28" s="22">
        <v>1000</v>
      </c>
      <c r="E28" s="43">
        <f t="shared" si="2"/>
        <v>2000</v>
      </c>
    </row>
    <row r="29" spans="1:5" x14ac:dyDescent="0.45">
      <c r="A29" s="16"/>
      <c r="B29" s="16" t="s">
        <v>45</v>
      </c>
      <c r="C29" s="22">
        <v>7349</v>
      </c>
      <c r="D29" s="22">
        <v>8499</v>
      </c>
      <c r="E29" s="43">
        <f t="shared" si="2"/>
        <v>15848</v>
      </c>
    </row>
    <row r="30" spans="1:5" x14ac:dyDescent="0.45">
      <c r="A30" s="16"/>
      <c r="B30" s="16" t="s">
        <v>44</v>
      </c>
      <c r="C30" s="22">
        <v>2112</v>
      </c>
      <c r="D30" s="22">
        <v>1213</v>
      </c>
      <c r="E30" s="43">
        <f t="shared" si="2"/>
        <v>3325</v>
      </c>
    </row>
    <row r="31" spans="1:5" x14ac:dyDescent="0.45">
      <c r="A31" s="16"/>
      <c r="B31" s="16" t="s">
        <v>48</v>
      </c>
      <c r="C31" s="22">
        <v>10</v>
      </c>
      <c r="D31" s="22">
        <v>10</v>
      </c>
      <c r="E31" s="43">
        <f t="shared" si="2"/>
        <v>20</v>
      </c>
    </row>
    <row r="32" spans="1:5" x14ac:dyDescent="0.45">
      <c r="A32" s="16"/>
      <c r="B32" s="16"/>
      <c r="C32" s="71"/>
      <c r="D32" s="71"/>
      <c r="E32" s="48"/>
    </row>
    <row r="33" spans="1:5" x14ac:dyDescent="0.45">
      <c r="A33" s="17" t="s">
        <v>58</v>
      </c>
      <c r="B33" s="51"/>
      <c r="C33" s="23">
        <f>SUM(C20:C32)</f>
        <v>5230</v>
      </c>
      <c r="D33" s="23">
        <f>SUM(D20:D32)</f>
        <v>25535</v>
      </c>
      <c r="E33" s="43">
        <f t="shared" si="2"/>
        <v>30765</v>
      </c>
    </row>
    <row r="34" spans="1:5" ht="14.65" thickBot="1" x14ac:dyDescent="0.5">
      <c r="A34" s="17" t="s">
        <v>104</v>
      </c>
      <c r="C34" s="78">
        <f>C14+C33</f>
        <v>915570</v>
      </c>
      <c r="D34" s="78">
        <f>D14+D33</f>
        <v>944675</v>
      </c>
      <c r="E34" s="78">
        <f t="shared" si="2"/>
        <v>1860245</v>
      </c>
    </row>
    <row r="35" spans="1:5" ht="14.65" thickTop="1" x14ac:dyDescent="0.45">
      <c r="A35" s="5" t="s">
        <v>32</v>
      </c>
      <c r="C35" s="35">
        <f>(C34-C7)/C7</f>
        <v>1.0504915832645368E-2</v>
      </c>
      <c r="D35" s="35">
        <f>(D34-D7)/D7</f>
        <v>4.2538046417180758E-2</v>
      </c>
      <c r="E35" s="35">
        <f>(E34-E7)/E7</f>
        <v>2.6522170510467492E-2</v>
      </c>
    </row>
    <row r="36" spans="1:5" x14ac:dyDescent="0.45">
      <c r="C36" s="102"/>
      <c r="D36" s="102"/>
    </row>
    <row r="37" spans="1:5" x14ac:dyDescent="0.45">
      <c r="C37" s="103"/>
      <c r="D37" s="103"/>
    </row>
    <row r="38" spans="1:5" x14ac:dyDescent="0.45">
      <c r="B38" s="81" t="s">
        <v>20</v>
      </c>
    </row>
    <row r="39" spans="1:5" x14ac:dyDescent="0.45">
      <c r="B39" s="134" t="s">
        <v>51</v>
      </c>
      <c r="C39" s="134"/>
      <c r="D39" s="134"/>
      <c r="E39" s="134"/>
    </row>
    <row r="40" spans="1:5" x14ac:dyDescent="0.45">
      <c r="B40" s="134" t="s">
        <v>52</v>
      </c>
      <c r="C40" s="134"/>
      <c r="D40" s="134"/>
      <c r="E40" s="134"/>
    </row>
    <row r="41" spans="1:5" x14ac:dyDescent="0.45">
      <c r="B41" s="134" t="s">
        <v>53</v>
      </c>
      <c r="C41" s="134"/>
      <c r="D41" s="134"/>
      <c r="E41" s="134"/>
    </row>
    <row r="42" spans="1:5" x14ac:dyDescent="0.45">
      <c r="B42" s="134" t="s">
        <v>54</v>
      </c>
      <c r="C42" s="134"/>
      <c r="D42" s="134"/>
      <c r="E42" s="134"/>
    </row>
    <row r="43" spans="1:5" x14ac:dyDescent="0.45">
      <c r="B43" s="134" t="s">
        <v>55</v>
      </c>
      <c r="C43" s="134"/>
      <c r="D43" s="134"/>
      <c r="E43" s="134"/>
    </row>
    <row r="55" spans="2:2" x14ac:dyDescent="0.45">
      <c r="B55" s="40"/>
    </row>
    <row r="56" spans="2:2" x14ac:dyDescent="0.45">
      <c r="B56" s="40"/>
    </row>
    <row r="57" spans="2:2" x14ac:dyDescent="0.45">
      <c r="B57" s="40"/>
    </row>
    <row r="59" spans="2:2" x14ac:dyDescent="0.45">
      <c r="B59" s="37"/>
    </row>
    <row r="61" spans="2:2" x14ac:dyDescent="0.45">
      <c r="B61" s="15"/>
    </row>
    <row r="62" spans="2:2" x14ac:dyDescent="0.45">
      <c r="B62" s="37"/>
    </row>
    <row r="63" spans="2:2" x14ac:dyDescent="0.45">
      <c r="B63" s="52"/>
    </row>
    <row r="64" spans="2:2" x14ac:dyDescent="0.45">
      <c r="B64" s="37"/>
    </row>
    <row r="65" spans="2:2" x14ac:dyDescent="0.45">
      <c r="B65" s="40"/>
    </row>
    <row r="66" spans="2:2" x14ac:dyDescent="0.45">
      <c r="B66" s="37"/>
    </row>
    <row r="67" spans="2:2" x14ac:dyDescent="0.45">
      <c r="B67" s="15"/>
    </row>
    <row r="68" spans="2:2" x14ac:dyDescent="0.45">
      <c r="B68" s="41"/>
    </row>
  </sheetData>
  <mergeCells count="7">
    <mergeCell ref="B43:E43"/>
    <mergeCell ref="C4:E4"/>
    <mergeCell ref="A3:B3"/>
    <mergeCell ref="B39:E39"/>
    <mergeCell ref="B40:E40"/>
    <mergeCell ref="B41:E41"/>
    <mergeCell ref="B42:E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98F65-FD76-47E6-82E1-3928C9A02234}">
  <dimension ref="A1:E71"/>
  <sheetViews>
    <sheetView topLeftCell="A25" workbookViewId="0">
      <selection activeCell="B51" sqref="B51:E52"/>
    </sheetView>
  </sheetViews>
  <sheetFormatPr defaultRowHeight="14.25" x14ac:dyDescent="0.45"/>
  <cols>
    <col min="1" max="1" width="2.59765625" customWidth="1"/>
    <col min="2" max="2" width="42.19921875" customWidth="1"/>
    <col min="3" max="3" width="20" customWidth="1"/>
    <col min="4" max="4" width="16.796875" customWidth="1"/>
    <col min="5" max="5" width="13.59765625" customWidth="1"/>
  </cols>
  <sheetData>
    <row r="1" spans="1:5" ht="18" x14ac:dyDescent="0.55000000000000004">
      <c r="A1" s="12" t="s">
        <v>21</v>
      </c>
    </row>
    <row r="2" spans="1:5" ht="18" x14ac:dyDescent="0.55000000000000004">
      <c r="A2" s="12" t="s">
        <v>0</v>
      </c>
      <c r="B2" s="12"/>
      <c r="C2" s="96"/>
    </row>
    <row r="3" spans="1:5" ht="24.75" customHeight="1" x14ac:dyDescent="0.45">
      <c r="A3" s="136" t="s">
        <v>22</v>
      </c>
      <c r="B3" s="136"/>
    </row>
    <row r="4" spans="1:5" ht="15.75" x14ac:dyDescent="0.45">
      <c r="A4" s="10" t="s">
        <v>1</v>
      </c>
      <c r="B4" s="2"/>
      <c r="C4" s="135" t="s">
        <v>40</v>
      </c>
      <c r="D4" s="135"/>
      <c r="E4" s="135"/>
    </row>
    <row r="5" spans="1:5" ht="0.95" customHeight="1" x14ac:dyDescent="0.45">
      <c r="A5" s="4"/>
      <c r="B5" s="8" t="s">
        <v>26</v>
      </c>
      <c r="C5" s="64">
        <v>827609</v>
      </c>
      <c r="D5" s="64">
        <v>909759</v>
      </c>
      <c r="E5" s="65">
        <v>1737368</v>
      </c>
    </row>
    <row r="6" spans="1:5" x14ac:dyDescent="0.45">
      <c r="A6" s="6" t="s">
        <v>2</v>
      </c>
      <c r="B6" s="7"/>
      <c r="C6" s="79" t="s">
        <v>23</v>
      </c>
      <c r="D6" s="79" t="s">
        <v>24</v>
      </c>
      <c r="E6" s="79" t="s">
        <v>18</v>
      </c>
    </row>
    <row r="7" spans="1:5" x14ac:dyDescent="0.45">
      <c r="A7" s="17" t="s">
        <v>3</v>
      </c>
      <c r="B7" s="17"/>
      <c r="C7" s="19">
        <v>906052</v>
      </c>
      <c r="D7" s="19">
        <v>906130</v>
      </c>
      <c r="E7" s="43">
        <v>1812182</v>
      </c>
    </row>
    <row r="8" spans="1:5" x14ac:dyDescent="0.45">
      <c r="A8" s="15">
        <v>1</v>
      </c>
      <c r="B8" s="15" t="s">
        <v>25</v>
      </c>
      <c r="C8" s="18">
        <f>6154+123+23</f>
        <v>6300</v>
      </c>
      <c r="D8" s="18">
        <f>14253+284+54</f>
        <v>14591</v>
      </c>
      <c r="E8" s="43">
        <f>SUM(C8+D8)</f>
        <v>20891</v>
      </c>
    </row>
    <row r="9" spans="1:5" hidden="1" x14ac:dyDescent="0.45">
      <c r="A9" s="15"/>
      <c r="B9" s="16" t="s">
        <v>5</v>
      </c>
      <c r="C9" s="22">
        <v>370</v>
      </c>
      <c r="D9" s="18">
        <v>517</v>
      </c>
      <c r="E9" s="43">
        <f t="shared" ref="E9:E14" si="0">SUM(C9+D9)</f>
        <v>887</v>
      </c>
    </row>
    <row r="10" spans="1:5" hidden="1" x14ac:dyDescent="0.45">
      <c r="A10" s="15"/>
      <c r="B10" s="15" t="s">
        <v>6</v>
      </c>
      <c r="C10" s="22">
        <v>566</v>
      </c>
      <c r="D10" s="18">
        <v>960</v>
      </c>
      <c r="E10" s="43">
        <f t="shared" si="0"/>
        <v>1526</v>
      </c>
    </row>
    <row r="11" spans="1:5" hidden="1" x14ac:dyDescent="0.45">
      <c r="A11" s="16"/>
      <c r="B11" s="38" t="s">
        <v>43</v>
      </c>
      <c r="C11" s="22">
        <f>-4958</f>
        <v>-4958</v>
      </c>
      <c r="D11" s="22">
        <f>-4901-123-24</f>
        <v>-5048</v>
      </c>
      <c r="E11" s="43">
        <f t="shared" si="0"/>
        <v>-10006</v>
      </c>
    </row>
    <row r="12" spans="1:5" hidden="1" x14ac:dyDescent="0.45">
      <c r="A12" s="16"/>
      <c r="B12" s="38" t="s">
        <v>8</v>
      </c>
      <c r="C12" s="22">
        <f>1944+42+4</f>
        <v>1990</v>
      </c>
      <c r="D12" s="22">
        <f>1944+42+4</f>
        <v>1990</v>
      </c>
      <c r="E12" s="43">
        <f t="shared" si="0"/>
        <v>3980</v>
      </c>
    </row>
    <row r="13" spans="1:5" hidden="1" x14ac:dyDescent="0.45">
      <c r="A13" s="16"/>
      <c r="B13" s="38" t="s">
        <v>60</v>
      </c>
      <c r="C13" s="22">
        <v>-3464</v>
      </c>
      <c r="D13" s="22">
        <v>-3492</v>
      </c>
      <c r="E13" s="43">
        <f t="shared" si="0"/>
        <v>-6956</v>
      </c>
    </row>
    <row r="14" spans="1:5" x14ac:dyDescent="0.45">
      <c r="A14" s="17" t="s">
        <v>56</v>
      </c>
      <c r="B14" s="15"/>
      <c r="C14" s="34">
        <f>SUM(C8:C13)</f>
        <v>804</v>
      </c>
      <c r="D14" s="34">
        <f>SUM(D8:D13)</f>
        <v>9518</v>
      </c>
      <c r="E14" s="43">
        <f t="shared" si="0"/>
        <v>10322</v>
      </c>
    </row>
    <row r="15" spans="1:5" x14ac:dyDescent="0.45">
      <c r="A15" s="17" t="s">
        <v>57</v>
      </c>
      <c r="B15" s="17"/>
      <c r="C15" s="76">
        <f>C7+C14</f>
        <v>906856</v>
      </c>
      <c r="D15" s="76">
        <f>D7+D14</f>
        <v>915648</v>
      </c>
      <c r="E15" s="43">
        <f>SUM(C15+D15)</f>
        <v>1822504</v>
      </c>
    </row>
    <row r="16" spans="1:5" x14ac:dyDescent="0.45">
      <c r="A16" s="15"/>
      <c r="B16" s="58" t="s">
        <v>10</v>
      </c>
      <c r="C16" s="22"/>
      <c r="D16" s="22"/>
      <c r="E16" s="22"/>
    </row>
    <row r="17" spans="1:5" x14ac:dyDescent="0.45">
      <c r="A17" s="16">
        <v>14</v>
      </c>
      <c r="B17" s="95" t="s">
        <v>49</v>
      </c>
      <c r="C17" s="22">
        <f>-400-16</f>
        <v>-416</v>
      </c>
      <c r="D17" s="22">
        <f>-400-16</f>
        <v>-416</v>
      </c>
      <c r="E17" s="43">
        <f>SUM(C17+D17)</f>
        <v>-832</v>
      </c>
    </row>
    <row r="18" spans="1:5" hidden="1" x14ac:dyDescent="0.45">
      <c r="A18" s="16"/>
      <c r="B18" s="95" t="s">
        <v>29</v>
      </c>
      <c r="C18" s="22"/>
      <c r="D18" s="44"/>
      <c r="E18" s="43">
        <f t="shared" ref="E18:E21" si="1">SUM(C18+D18)</f>
        <v>0</v>
      </c>
    </row>
    <row r="19" spans="1:5" hidden="1" x14ac:dyDescent="0.45">
      <c r="A19" s="16"/>
      <c r="B19" s="95" t="s">
        <v>50</v>
      </c>
      <c r="C19" s="22"/>
      <c r="D19" s="44"/>
      <c r="E19" s="43">
        <f t="shared" si="1"/>
        <v>0</v>
      </c>
    </row>
    <row r="20" spans="1:5" hidden="1" x14ac:dyDescent="0.45">
      <c r="A20" s="15"/>
      <c r="B20" s="62" t="s">
        <v>31</v>
      </c>
      <c r="C20" s="21">
        <v>38</v>
      </c>
      <c r="D20" s="21">
        <v>38</v>
      </c>
      <c r="E20" s="43">
        <f t="shared" si="1"/>
        <v>76</v>
      </c>
    </row>
    <row r="21" spans="1:5" hidden="1" x14ac:dyDescent="0.45">
      <c r="A21" s="15"/>
      <c r="B21" s="62" t="s">
        <v>59</v>
      </c>
      <c r="C21" s="20"/>
      <c r="D21" s="20"/>
      <c r="E21" s="43">
        <f t="shared" si="1"/>
        <v>0</v>
      </c>
    </row>
    <row r="22" spans="1:5" x14ac:dyDescent="0.45">
      <c r="A22" s="15"/>
      <c r="B22" s="62"/>
      <c r="C22" s="20"/>
      <c r="D22" s="20"/>
      <c r="E22" s="47"/>
    </row>
    <row r="23" spans="1:5" x14ac:dyDescent="0.45">
      <c r="A23" s="15"/>
      <c r="B23" s="63" t="s">
        <v>13</v>
      </c>
      <c r="C23" s="20"/>
      <c r="D23" s="20"/>
      <c r="E23" s="47"/>
    </row>
    <row r="24" spans="1:5" x14ac:dyDescent="0.45">
      <c r="A24" s="15">
        <v>2</v>
      </c>
      <c r="B24" s="62" t="s">
        <v>34</v>
      </c>
      <c r="C24" s="20">
        <v>750</v>
      </c>
      <c r="D24" s="20">
        <v>750</v>
      </c>
      <c r="E24" s="43">
        <f>SUM(C24+D24)</f>
        <v>1500</v>
      </c>
    </row>
    <row r="25" spans="1:5" x14ac:dyDescent="0.45">
      <c r="A25" s="15">
        <v>3</v>
      </c>
      <c r="B25" s="62" t="s">
        <v>35</v>
      </c>
      <c r="C25" s="20">
        <v>5800</v>
      </c>
      <c r="D25" s="20">
        <v>0</v>
      </c>
      <c r="E25" s="43">
        <f t="shared" ref="E25:E37" si="2">SUM(C25+D25)</f>
        <v>5800</v>
      </c>
    </row>
    <row r="26" spans="1:5" x14ac:dyDescent="0.45">
      <c r="A26" s="15">
        <v>4</v>
      </c>
      <c r="B26" s="38" t="s">
        <v>36</v>
      </c>
      <c r="C26" s="22">
        <v>5000</v>
      </c>
      <c r="D26" s="22">
        <v>5000</v>
      </c>
      <c r="E26" s="43">
        <f t="shared" si="2"/>
        <v>10000</v>
      </c>
    </row>
    <row r="27" spans="1:5" x14ac:dyDescent="0.45">
      <c r="A27" s="15">
        <v>5</v>
      </c>
      <c r="B27" s="16" t="s">
        <v>37</v>
      </c>
      <c r="C27" s="22">
        <v>0</v>
      </c>
      <c r="D27" s="22">
        <v>0</v>
      </c>
      <c r="E27" s="43">
        <f t="shared" si="2"/>
        <v>0</v>
      </c>
    </row>
    <row r="28" spans="1:5" x14ac:dyDescent="0.45">
      <c r="A28" s="15">
        <v>6</v>
      </c>
      <c r="B28" s="16" t="s">
        <v>46</v>
      </c>
      <c r="C28" s="22">
        <v>1000</v>
      </c>
      <c r="D28" s="22">
        <v>1000</v>
      </c>
      <c r="E28" s="43">
        <f t="shared" si="2"/>
        <v>2000</v>
      </c>
    </row>
    <row r="29" spans="1:5" x14ac:dyDescent="0.45">
      <c r="A29" s="15">
        <v>7</v>
      </c>
      <c r="B29" s="16" t="s">
        <v>47</v>
      </c>
      <c r="C29" s="22">
        <v>1000</v>
      </c>
      <c r="D29" s="22">
        <v>1000</v>
      </c>
      <c r="E29" s="43">
        <f t="shared" si="2"/>
        <v>2000</v>
      </c>
    </row>
    <row r="30" spans="1:5" x14ac:dyDescent="0.45">
      <c r="A30" s="15">
        <v>8</v>
      </c>
      <c r="B30" s="16" t="s">
        <v>63</v>
      </c>
      <c r="C30" s="22">
        <v>5876</v>
      </c>
      <c r="D30" s="22">
        <v>10000</v>
      </c>
      <c r="E30" s="43">
        <f t="shared" si="2"/>
        <v>15876</v>
      </c>
    </row>
    <row r="31" spans="1:5" x14ac:dyDescent="0.45">
      <c r="A31" s="15">
        <v>9</v>
      </c>
      <c r="B31" s="16" t="s">
        <v>62</v>
      </c>
      <c r="C31" s="22">
        <v>7000</v>
      </c>
      <c r="D31" s="22">
        <v>7000</v>
      </c>
      <c r="E31" s="43">
        <f t="shared" si="2"/>
        <v>14000</v>
      </c>
    </row>
    <row r="32" spans="1:5" x14ac:dyDescent="0.45">
      <c r="A32" s="15">
        <v>10</v>
      </c>
      <c r="B32" s="16" t="s">
        <v>61</v>
      </c>
      <c r="C32" s="22">
        <v>925</v>
      </c>
      <c r="D32" s="22">
        <v>925</v>
      </c>
      <c r="E32" s="43">
        <f t="shared" si="2"/>
        <v>1850</v>
      </c>
    </row>
    <row r="33" spans="1:5" x14ac:dyDescent="0.45">
      <c r="A33" s="15">
        <v>11</v>
      </c>
      <c r="B33" s="16" t="s">
        <v>64</v>
      </c>
      <c r="C33" s="22">
        <v>516</v>
      </c>
      <c r="D33" s="22">
        <v>516</v>
      </c>
      <c r="E33" s="43">
        <f t="shared" si="2"/>
        <v>1032</v>
      </c>
    </row>
    <row r="34" spans="1:5" x14ac:dyDescent="0.45">
      <c r="A34" s="15">
        <v>12</v>
      </c>
      <c r="B34" s="16" t="s">
        <v>65</v>
      </c>
      <c r="C34" s="22">
        <v>350</v>
      </c>
      <c r="D34" s="22">
        <v>350</v>
      </c>
      <c r="E34" s="43">
        <f t="shared" si="2"/>
        <v>700</v>
      </c>
    </row>
    <row r="35" spans="1:5" x14ac:dyDescent="0.45">
      <c r="A35" s="15">
        <v>13</v>
      </c>
      <c r="B35" s="16" t="s">
        <v>66</v>
      </c>
      <c r="C35" s="22">
        <v>16</v>
      </c>
      <c r="D35" s="22">
        <v>91</v>
      </c>
      <c r="E35" s="43">
        <f t="shared" si="2"/>
        <v>107</v>
      </c>
    </row>
    <row r="36" spans="1:5" x14ac:dyDescent="0.45">
      <c r="A36" s="17" t="s">
        <v>58</v>
      </c>
      <c r="B36" s="51"/>
      <c r="C36" s="23">
        <f>SUM(C17:C35)</f>
        <v>27855</v>
      </c>
      <c r="D36" s="23">
        <f>SUM(D17:D35)</f>
        <v>26254</v>
      </c>
      <c r="E36" s="43">
        <f t="shared" si="2"/>
        <v>54109</v>
      </c>
    </row>
    <row r="37" spans="1:5" ht="14.65" thickBot="1" x14ac:dyDescent="0.5">
      <c r="A37" s="17" t="s">
        <v>104</v>
      </c>
      <c r="C37" s="78">
        <f>C15+C36</f>
        <v>934711</v>
      </c>
      <c r="D37" s="78">
        <f>D15+D36</f>
        <v>941902</v>
      </c>
      <c r="E37" s="78">
        <f t="shared" si="2"/>
        <v>1876613</v>
      </c>
    </row>
    <row r="38" spans="1:5" ht="14.65" thickTop="1" x14ac:dyDescent="0.45">
      <c r="A38" s="5" t="s">
        <v>32</v>
      </c>
      <c r="C38" s="35">
        <f>(C37-C7)/C7</f>
        <v>3.1630634886297915E-2</v>
      </c>
      <c r="D38" s="35">
        <f>(D37-D7)/D7</f>
        <v>3.9477779126615389E-2</v>
      </c>
      <c r="E38" s="35">
        <f>(E37-E7)/E7</f>
        <v>3.5554375884982857E-2</v>
      </c>
    </row>
    <row r="39" spans="1:5" x14ac:dyDescent="0.45">
      <c r="C39" s="102"/>
      <c r="D39" s="102"/>
    </row>
    <row r="40" spans="1:5" x14ac:dyDescent="0.45">
      <c r="C40" s="103"/>
      <c r="D40" s="103"/>
    </row>
    <row r="41" spans="1:5" x14ac:dyDescent="0.45">
      <c r="B41" s="81" t="s">
        <v>20</v>
      </c>
    </row>
    <row r="42" spans="1:5" x14ac:dyDescent="0.45">
      <c r="A42" s="40">
        <v>1</v>
      </c>
      <c r="B42" s="134" t="s">
        <v>67</v>
      </c>
      <c r="C42" s="134"/>
      <c r="D42" s="134"/>
      <c r="E42" s="134"/>
    </row>
    <row r="43" spans="1:5" ht="28.5" customHeight="1" x14ac:dyDescent="0.45">
      <c r="A43" s="40">
        <v>2</v>
      </c>
      <c r="B43" s="137" t="s">
        <v>70</v>
      </c>
      <c r="C43" s="137"/>
      <c r="D43" s="137"/>
      <c r="E43" s="137"/>
    </row>
    <row r="44" spans="1:5" ht="33" customHeight="1" x14ac:dyDescent="0.45">
      <c r="A44" s="40">
        <v>3</v>
      </c>
      <c r="B44" s="137" t="s">
        <v>72</v>
      </c>
      <c r="C44" s="137"/>
      <c r="D44" s="137"/>
      <c r="E44" s="137"/>
    </row>
    <row r="45" spans="1:5" x14ac:dyDescent="0.45">
      <c r="A45" s="40">
        <v>4</v>
      </c>
      <c r="B45" s="134" t="s">
        <v>68</v>
      </c>
      <c r="C45" s="134"/>
      <c r="D45" s="134"/>
      <c r="E45" s="134"/>
    </row>
    <row r="46" spans="1:5" x14ac:dyDescent="0.45">
      <c r="A46" s="40" t="s">
        <v>71</v>
      </c>
      <c r="B46" s="134" t="s">
        <v>69</v>
      </c>
      <c r="C46" s="134"/>
      <c r="D46" s="134"/>
      <c r="E46" s="134"/>
    </row>
    <row r="47" spans="1:5" x14ac:dyDescent="0.45">
      <c r="A47" s="40">
        <v>8</v>
      </c>
      <c r="B47" s="134" t="s">
        <v>74</v>
      </c>
      <c r="C47" s="134"/>
      <c r="D47" s="134"/>
      <c r="E47" s="134"/>
    </row>
    <row r="48" spans="1:5" x14ac:dyDescent="0.45">
      <c r="A48" s="40">
        <v>9</v>
      </c>
      <c r="B48" s="134" t="s">
        <v>77</v>
      </c>
      <c r="C48" s="134"/>
      <c r="D48" s="134"/>
      <c r="E48" s="134"/>
    </row>
    <row r="49" spans="1:5" ht="28.5" customHeight="1" x14ac:dyDescent="0.45">
      <c r="A49" s="40">
        <v>10</v>
      </c>
      <c r="B49" s="137" t="s">
        <v>73</v>
      </c>
      <c r="C49" s="137"/>
      <c r="D49" s="137"/>
      <c r="E49" s="137"/>
    </row>
    <row r="50" spans="1:5" x14ac:dyDescent="0.45">
      <c r="A50" s="40">
        <v>11</v>
      </c>
      <c r="B50" s="134" t="s">
        <v>75</v>
      </c>
      <c r="C50" s="134"/>
      <c r="D50" s="134"/>
      <c r="E50" s="134"/>
    </row>
    <row r="51" spans="1:5" x14ac:dyDescent="0.45">
      <c r="A51" s="40">
        <v>12</v>
      </c>
      <c r="B51" s="134" t="s">
        <v>78</v>
      </c>
      <c r="C51" s="134"/>
      <c r="D51" s="134"/>
      <c r="E51" s="134"/>
    </row>
    <row r="52" spans="1:5" ht="28.5" customHeight="1" x14ac:dyDescent="0.45">
      <c r="A52" s="40">
        <v>13</v>
      </c>
      <c r="B52" s="137" t="s">
        <v>76</v>
      </c>
      <c r="C52" s="137"/>
      <c r="D52" s="137"/>
      <c r="E52" s="137"/>
    </row>
    <row r="53" spans="1:5" ht="58.5" customHeight="1" x14ac:dyDescent="0.45">
      <c r="A53" s="40">
        <v>14</v>
      </c>
      <c r="B53" s="137" t="s">
        <v>79</v>
      </c>
      <c r="C53" s="137"/>
      <c r="D53" s="137"/>
      <c r="E53" s="137"/>
    </row>
    <row r="58" spans="1:5" x14ac:dyDescent="0.45">
      <c r="B58" s="40"/>
    </row>
    <row r="59" spans="1:5" x14ac:dyDescent="0.45">
      <c r="B59" s="40"/>
    </row>
    <row r="60" spans="1:5" x14ac:dyDescent="0.45">
      <c r="B60" s="40"/>
    </row>
    <row r="62" spans="1:5" x14ac:dyDescent="0.45">
      <c r="B62" s="37"/>
    </row>
    <row r="64" spans="1:5" x14ac:dyDescent="0.45">
      <c r="B64" s="15"/>
    </row>
    <row r="65" spans="2:2" x14ac:dyDescent="0.45">
      <c r="B65" s="37"/>
    </row>
    <row r="66" spans="2:2" x14ac:dyDescent="0.45">
      <c r="B66" s="52"/>
    </row>
    <row r="67" spans="2:2" x14ac:dyDescent="0.45">
      <c r="B67" s="37"/>
    </row>
    <row r="68" spans="2:2" x14ac:dyDescent="0.45">
      <c r="B68" s="40"/>
    </row>
    <row r="69" spans="2:2" x14ac:dyDescent="0.45">
      <c r="B69" s="37"/>
    </row>
    <row r="70" spans="2:2" x14ac:dyDescent="0.45">
      <c r="B70" s="15"/>
    </row>
    <row r="71" spans="2:2" x14ac:dyDescent="0.45">
      <c r="B71" s="41"/>
    </row>
  </sheetData>
  <mergeCells count="14">
    <mergeCell ref="A3:B3"/>
    <mergeCell ref="C4:E4"/>
    <mergeCell ref="B42:E42"/>
    <mergeCell ref="B45:E45"/>
    <mergeCell ref="B46:E46"/>
    <mergeCell ref="B43:E43"/>
    <mergeCell ref="B51:E51"/>
    <mergeCell ref="B53:E53"/>
    <mergeCell ref="B44:E44"/>
    <mergeCell ref="B49:E49"/>
    <mergeCell ref="B47:E47"/>
    <mergeCell ref="B50:E50"/>
    <mergeCell ref="B52:E52"/>
    <mergeCell ref="B48:E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SBCTC to Gov-Senate-House</vt:lpstr>
      <vt:lpstr>Senate Chair</vt:lpstr>
      <vt:lpstr>House</vt:lpstr>
      <vt:lpstr>'SBCTC to Gov-Senate-House'!Print_Area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Cherie Berthon</dc:creator>
  <cp:lastModifiedBy>Cherie Berthon</cp:lastModifiedBy>
  <cp:lastPrinted>2021-04-06T18:25:27Z</cp:lastPrinted>
  <dcterms:created xsi:type="dcterms:W3CDTF">2018-12-13T00:26:03Z</dcterms:created>
  <dcterms:modified xsi:type="dcterms:W3CDTF">2021-04-24T20:53:02Z</dcterms:modified>
</cp:coreProperties>
</file>